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95" tabRatio="922" activeTab="0"/>
  </bookViews>
  <sheets>
    <sheet name="FY11 to FY10 Comparison" sheetId="1" r:id="rId1"/>
    <sheet name="DCM" sheetId="2" r:id="rId2"/>
    <sheet name="DCS" sheetId="3" r:id="rId3"/>
    <sheet name="DCJ" sheetId="4" r:id="rId4"/>
    <sheet name="DCHS" sheetId="5" r:id="rId5"/>
    <sheet name="DOH" sheetId="6" r:id="rId6"/>
    <sheet name="LIB" sheetId="7" r:id="rId7"/>
    <sheet name="NonDept" sheetId="8" r:id="rId8"/>
    <sheet name="DA" sheetId="9" r:id="rId9"/>
    <sheet name="MCSO" sheetId="10" r:id="rId10"/>
  </sheets>
  <definedNames>
    <definedName name="_xlnm.Print_Area" localSheetId="8">'DA'!$A$1:$L$26</definedName>
    <definedName name="_xlnm.Print_Area" localSheetId="4">'DCHS'!$A$1:$L$52</definedName>
    <definedName name="_xlnm.Print_Area" localSheetId="3">'DCJ'!$A$1:$L$46</definedName>
    <definedName name="_xlnm.Print_Area" localSheetId="1">'DCM'!$A$1:$L$42</definedName>
    <definedName name="_xlnm.Print_Area" localSheetId="2">'DCS'!$A$1:$L$23</definedName>
    <definedName name="_xlnm.Print_Area" localSheetId="5">'DOH'!$A$1:$L$99</definedName>
    <definedName name="_xlnm.Print_Area" localSheetId="0">'FY11 to FY10 Comparison'!$A$1:$R$25</definedName>
    <definedName name="_xlnm.Print_Area" localSheetId="6">'LIB'!$A$1:$L$14</definedName>
    <definedName name="_xlnm.Print_Area" localSheetId="9">'MCSO'!$A$1:$L$30</definedName>
    <definedName name="_xlnm.Print_Area" localSheetId="7">'NonDept'!$A$1:$L$22</definedName>
    <definedName name="_xlnm.Print_Titles" localSheetId="5">'DOH'!$1:$6</definedName>
  </definedNames>
  <calcPr fullCalcOnLoad="1"/>
</workbook>
</file>

<file path=xl/comments1.xml><?xml version="1.0" encoding="utf-8"?>
<comments xmlns="http://schemas.openxmlformats.org/spreadsheetml/2006/main">
  <authors>
    <author>aortiz</author>
  </authors>
  <commentList>
    <comment ref="K25" authorId="0">
      <text>
        <r>
          <rPr>
            <b/>
            <sz val="8"/>
            <rFont val="Tahoma"/>
            <family val="0"/>
          </rPr>
          <t xml:space="preserve">aortiz:
11/13/2009 </t>
        </r>
        <r>
          <rPr>
            <sz val="8"/>
            <rFont val="Tahoma"/>
            <family val="2"/>
          </rPr>
          <t>per Dwight, no external revenue for FY11</t>
        </r>
      </text>
    </comment>
    <comment ref="K4" authorId="0">
      <text>
        <r>
          <rPr>
            <b/>
            <sz val="8"/>
            <rFont val="Tahoma"/>
            <family val="0"/>
          </rPr>
          <t>aortiz:</t>
        </r>
        <r>
          <rPr>
            <sz val="8"/>
            <rFont val="Tahoma"/>
            <family val="0"/>
          </rPr>
          <t xml:space="preserve">
Allocation equals total exp less projected external revenues. (charges for svcs &amp;/or sales to the public).
Excluded constraint is it's been previously collected and not spent and siting in BWC 
Bought down rate w/ BWC of $26500</t>
        </r>
      </text>
    </comment>
    <comment ref="O25" authorId="0">
      <text>
        <r>
          <rPr>
            <b/>
            <sz val="8"/>
            <rFont val="Tahoma"/>
            <family val="0"/>
          </rPr>
          <t xml:space="preserve">aortiz:
</t>
        </r>
        <r>
          <rPr>
            <sz val="8"/>
            <rFont val="Tahoma"/>
            <family val="2"/>
          </rPr>
          <t>per Dwight, use estimated external rev for FY10 based on 1400 boxes @ .70¢/box/mo for 10 months</t>
        </r>
      </text>
    </comment>
    <comment ref="O4" authorId="0">
      <text>
        <r>
          <rPr>
            <b/>
            <sz val="8"/>
            <rFont val="Tahoma"/>
            <family val="0"/>
          </rPr>
          <t>aortiz:</t>
        </r>
        <r>
          <rPr>
            <sz val="8"/>
            <rFont val="Tahoma"/>
            <family val="0"/>
          </rPr>
          <t xml:space="preserve">
Allocation equals total exp including distribution, central stores and 5% reserve less projected external revenues. (charges for svcs &amp;/or sales to the public) (exp BWC).  
1/7/2009 Per Rich, removing 5% Reserve, using BWC to cover it.
</t>
        </r>
      </text>
    </comment>
  </commentList>
</comments>
</file>

<file path=xl/sharedStrings.xml><?xml version="1.0" encoding="utf-8"?>
<sst xmlns="http://schemas.openxmlformats.org/spreadsheetml/2006/main" count="847" uniqueCount="617">
  <si>
    <t>Records Center Activities</t>
  </si>
  <si>
    <t>Budget in 60460 for Records Services</t>
  </si>
  <si>
    <t>Record</t>
  </si>
  <si>
    <t xml:space="preserve">% of </t>
  </si>
  <si>
    <t>Boxes</t>
  </si>
  <si>
    <t>Average</t>
  </si>
  <si>
    <t>Agency</t>
  </si>
  <si>
    <t>AGCCD</t>
  </si>
  <si>
    <t>Actions</t>
  </si>
  <si>
    <t>Total</t>
  </si>
  <si>
    <t>Accessioned</t>
  </si>
  <si>
    <t>Shelved</t>
  </si>
  <si>
    <t>of %'s</t>
  </si>
  <si>
    <t>Department of County Management</t>
  </si>
  <si>
    <t>Accounts Payable</t>
  </si>
  <si>
    <t>021</t>
  </si>
  <si>
    <t>A&amp;T Records Management</t>
  </si>
  <si>
    <t>010, 015</t>
  </si>
  <si>
    <t>Board of Property Tax Appeal</t>
  </si>
  <si>
    <t>Budget Office</t>
  </si>
  <si>
    <t>176, 259</t>
  </si>
  <si>
    <t>Central Procurement &amp; Contract Administration</t>
  </si>
  <si>
    <t>012, 092</t>
  </si>
  <si>
    <t>Director's Office</t>
  </si>
  <si>
    <t>022, 023</t>
  </si>
  <si>
    <t>Document Recording</t>
  </si>
  <si>
    <t>009</t>
  </si>
  <si>
    <t>Facilities &amp; Property Management</t>
  </si>
  <si>
    <t>005, 417</t>
  </si>
  <si>
    <t>F&amp;PM/Contracts &amp; Procurement</t>
  </si>
  <si>
    <t>418</t>
  </si>
  <si>
    <t>F&amp;PM/Fiscal</t>
  </si>
  <si>
    <t>419</t>
  </si>
  <si>
    <t>F&amp;PM/Operations &amp; Maintenance</t>
  </si>
  <si>
    <t>252</t>
  </si>
  <si>
    <t>F&amp;PM/Planning</t>
  </si>
  <si>
    <t>410</t>
  </si>
  <si>
    <t>F&amp;PM/Property Management</t>
  </si>
  <si>
    <t>420</t>
  </si>
  <si>
    <t>FREDS Administration</t>
  </si>
  <si>
    <t>285</t>
  </si>
  <si>
    <t>FREDS Electronic Services</t>
  </si>
  <si>
    <t>187</t>
  </si>
  <si>
    <t>FREDS Fleet Services</t>
  </si>
  <si>
    <t>304</t>
  </si>
  <si>
    <t>General Ledger</t>
  </si>
  <si>
    <t>026</t>
  </si>
  <si>
    <t>Human Resources - Administration</t>
  </si>
  <si>
    <t>019</t>
  </si>
  <si>
    <t>Human Resouces - Affirmative Action</t>
  </si>
  <si>
    <t>020</t>
  </si>
  <si>
    <t>018</t>
  </si>
  <si>
    <t>Human Resources - Health Promotion/Benefits</t>
  </si>
  <si>
    <t>228</t>
  </si>
  <si>
    <t>Human Resources - Labor Relations</t>
  </si>
  <si>
    <t>016</t>
  </si>
  <si>
    <t>Information Technology - Division Management</t>
  </si>
  <si>
    <t>030</t>
  </si>
  <si>
    <t>Marriage Licenses</t>
  </si>
  <si>
    <t>145</t>
  </si>
  <si>
    <t>Payroll</t>
  </si>
  <si>
    <t>028</t>
  </si>
  <si>
    <t>PERS, Deferred Comp, &amp; Tax Reporting</t>
  </si>
  <si>
    <t>532</t>
  </si>
  <si>
    <t>Property Valuation/Appraisal</t>
  </si>
  <si>
    <t>007</t>
  </si>
  <si>
    <t>Property Valuation/Exemptions</t>
  </si>
  <si>
    <t>008</t>
  </si>
  <si>
    <t>Property Valuation/Technical Support</t>
  </si>
  <si>
    <t>226</t>
  </si>
  <si>
    <t>Risk Management</t>
  </si>
  <si>
    <t>033</t>
  </si>
  <si>
    <t>SAP Support</t>
  </si>
  <si>
    <t>408</t>
  </si>
  <si>
    <t>Sustainability</t>
  </si>
  <si>
    <t>068</t>
  </si>
  <si>
    <t>Tax Accounting Management &amp; Administration</t>
  </si>
  <si>
    <t>004, 122</t>
  </si>
  <si>
    <t>Tax Collection</t>
  </si>
  <si>
    <t>011</t>
  </si>
  <si>
    <t>Telecommunications</t>
  </si>
  <si>
    <t>031</t>
  </si>
  <si>
    <t>Treasury</t>
  </si>
  <si>
    <t>029</t>
  </si>
  <si>
    <t>DCM Total</t>
  </si>
  <si>
    <t>Community Services</t>
  </si>
  <si>
    <t>Animal Control</t>
  </si>
  <si>
    <t>003</t>
  </si>
  <si>
    <t>Animal Control/Field Services</t>
  </si>
  <si>
    <t>523</t>
  </si>
  <si>
    <t>Animal Control/Shelter Services</t>
  </si>
  <si>
    <t>524</t>
  </si>
  <si>
    <t>Elections</t>
  </si>
  <si>
    <t>017</t>
  </si>
  <si>
    <t>Emergency Management</t>
  </si>
  <si>
    <t>112</t>
  </si>
  <si>
    <t>Housing/Tax Title</t>
  </si>
  <si>
    <t>116</t>
  </si>
  <si>
    <t>Land Use Planning</t>
  </si>
  <si>
    <t>126</t>
  </si>
  <si>
    <t>LUT/Administrative Support</t>
  </si>
  <si>
    <t>520</t>
  </si>
  <si>
    <t>LUT/Bridge Operations &amp; Maintenance</t>
  </si>
  <si>
    <t>263</t>
  </si>
  <si>
    <t>LUT/Fiscal</t>
  </si>
  <si>
    <t>519</t>
  </si>
  <si>
    <t>LUT/Roadway Engineering &amp; Operations</t>
  </si>
  <si>
    <t>140</t>
  </si>
  <si>
    <t>Surveyor</t>
  </si>
  <si>
    <t>120</t>
  </si>
  <si>
    <t>DCS Total</t>
  </si>
  <si>
    <t>Department of Community Justice</t>
  </si>
  <si>
    <t>ACJ Administration</t>
  </si>
  <si>
    <t>341</t>
  </si>
  <si>
    <t>Alternative Community Services</t>
  </si>
  <si>
    <t>080</t>
  </si>
  <si>
    <t>Business Services</t>
  </si>
  <si>
    <t>160</t>
  </si>
  <si>
    <t>Case Bank</t>
  </si>
  <si>
    <t>272</t>
  </si>
  <si>
    <t>Central Probation &amp; Parole</t>
  </si>
  <si>
    <t>174</t>
  </si>
  <si>
    <t>Centralized Intake</t>
  </si>
  <si>
    <t>373</t>
  </si>
  <si>
    <t>Day Reporting Center</t>
  </si>
  <si>
    <t>355</t>
  </si>
  <si>
    <t>Detention Services</t>
  </si>
  <si>
    <t>260</t>
  </si>
  <si>
    <t>Detention Alternatives</t>
  </si>
  <si>
    <t>349</t>
  </si>
  <si>
    <t>156</t>
  </si>
  <si>
    <t>Domestic Violence</t>
  </si>
  <si>
    <t>320</t>
  </si>
  <si>
    <t>DUII Supervision</t>
  </si>
  <si>
    <t>318</t>
  </si>
  <si>
    <t>East Probation &amp; Parole (MTEA)</t>
  </si>
  <si>
    <t>173</t>
  </si>
  <si>
    <t>Enhanced DUII Bench Probation Program</t>
  </si>
  <si>
    <t>442, 494</t>
  </si>
  <si>
    <t>Family Court Services</t>
  </si>
  <si>
    <t>231</t>
  </si>
  <si>
    <t>Family Service Unit</t>
  </si>
  <si>
    <t>481</t>
  </si>
  <si>
    <t>Gresham Probation &amp; Parole</t>
  </si>
  <si>
    <t>180</t>
  </si>
  <si>
    <t>Hearings Unit</t>
  </si>
  <si>
    <t>339</t>
  </si>
  <si>
    <t>Human Resources</t>
  </si>
  <si>
    <t>371</t>
  </si>
  <si>
    <t>Interchange</t>
  </si>
  <si>
    <t>466</t>
  </si>
  <si>
    <t>Intake &amp; Court Svcs/Clean Court</t>
  </si>
  <si>
    <t>475</t>
  </si>
  <si>
    <t>Juvenile Justice Accountability Programs</t>
  </si>
  <si>
    <t>250</t>
  </si>
  <si>
    <t>Juvenile Justice Central Records</t>
  </si>
  <si>
    <t>074</t>
  </si>
  <si>
    <t>Juvenile Justice Skill Development Unit</t>
  </si>
  <si>
    <t>367</t>
  </si>
  <si>
    <t>Londer Learning Center</t>
  </si>
  <si>
    <t>376</t>
  </si>
  <si>
    <t>Mid County Probation &amp; Parole</t>
  </si>
  <si>
    <t>181</t>
  </si>
  <si>
    <t>Northeast Probation &amp; Parole</t>
  </si>
  <si>
    <t>175</t>
  </si>
  <si>
    <t>Pre-Sentence Investigation</t>
  </si>
  <si>
    <t>317</t>
  </si>
  <si>
    <t>Pre-Trial Release Services</t>
  </si>
  <si>
    <t>353</t>
  </si>
  <si>
    <t>Reduced Supervision Team</t>
  </si>
  <si>
    <t>500</t>
  </si>
  <si>
    <t>Research &amp; Evaluation</t>
  </si>
  <si>
    <t>347</t>
  </si>
  <si>
    <t>Transition Services</t>
  </si>
  <si>
    <t>185</t>
  </si>
  <si>
    <t>West Probation &amp; Parole</t>
  </si>
  <si>
    <t>182</t>
  </si>
  <si>
    <t>Work Release Center</t>
  </si>
  <si>
    <t>184</t>
  </si>
  <si>
    <t>DCJ Total</t>
  </si>
  <si>
    <t>Department of County Human Services</t>
  </si>
  <si>
    <t>Addiction Services</t>
  </si>
  <si>
    <t>154</t>
  </si>
  <si>
    <t>Adult Care Home Program</t>
  </si>
  <si>
    <t>153</t>
  </si>
  <si>
    <t>Adult Mental Health Program</t>
  </si>
  <si>
    <t>227</t>
  </si>
  <si>
    <t>Behavioral Health</t>
  </si>
  <si>
    <t>385</t>
  </si>
  <si>
    <t>Business Services - Administration</t>
  </si>
  <si>
    <t>141</t>
  </si>
  <si>
    <t>Business Services - Contracts</t>
  </si>
  <si>
    <t>92, 296</t>
  </si>
  <si>
    <t>Business Services - Finance</t>
  </si>
  <si>
    <t>035, 306</t>
  </si>
  <si>
    <t>Business Services - Human Resources</t>
  </si>
  <si>
    <t>380</t>
  </si>
  <si>
    <t>Child &amp; Adolescent Treatment Services</t>
  </si>
  <si>
    <t>164</t>
  </si>
  <si>
    <t>135</t>
  </si>
  <si>
    <t>DCFS Children, Youth &amp; Family Services</t>
  </si>
  <si>
    <t>079</t>
  </si>
  <si>
    <t>DCHS Directors Office</t>
  </si>
  <si>
    <t>438</t>
  </si>
  <si>
    <t>Developmental Disabilities/Administration</t>
  </si>
  <si>
    <t>444</t>
  </si>
  <si>
    <t>Developmental Disabilities/Adult Services</t>
  </si>
  <si>
    <t>085</t>
  </si>
  <si>
    <t>Developmental Disabilities/Children's Services</t>
  </si>
  <si>
    <t>449</t>
  </si>
  <si>
    <t>DD/Adult Protective Service Program</t>
  </si>
  <si>
    <t>493</t>
  </si>
  <si>
    <t>DD/Community Options Brokerage</t>
  </si>
  <si>
    <t>487</t>
  </si>
  <si>
    <t>DD/Operations &amp; Protective Services</t>
  </si>
  <si>
    <t>439</t>
  </si>
  <si>
    <t>DD/Quality &amp; Specialized Services</t>
  </si>
  <si>
    <t>447</t>
  </si>
  <si>
    <t>DD/Regional Crisis Diversion Services</t>
  </si>
  <si>
    <t>448</t>
  </si>
  <si>
    <t>Domestic Violence Coordinator's Office</t>
  </si>
  <si>
    <t>505</t>
  </si>
  <si>
    <t>DUII Evaluation Program</t>
  </si>
  <si>
    <t>507</t>
  </si>
  <si>
    <t>East Aging Services Office</t>
  </si>
  <si>
    <t>245</t>
  </si>
  <si>
    <t>Managed Care Administration</t>
  </si>
  <si>
    <t>257</t>
  </si>
  <si>
    <t>Mental Health &amp; Addiction Svcs./Admin.</t>
  </si>
  <si>
    <t>078</t>
  </si>
  <si>
    <t>Mid-Area Aging &amp; Disability Services Office</t>
  </si>
  <si>
    <t>039, 453</t>
  </si>
  <si>
    <t>North Disability Services Office</t>
  </si>
  <si>
    <t>332</t>
  </si>
  <si>
    <t>Northeast Aging Services Office</t>
  </si>
  <si>
    <t>036</t>
  </si>
  <si>
    <t>Nursing Facilities Office</t>
  </si>
  <si>
    <t>384</t>
  </si>
  <si>
    <t>OSCP Administration</t>
  </si>
  <si>
    <t>038</t>
  </si>
  <si>
    <t>OSCP Community Partnerships</t>
  </si>
  <si>
    <t>479</t>
  </si>
  <si>
    <t>OSCP Community Services - Housing &amp; Public Works</t>
  </si>
  <si>
    <t>415</t>
  </si>
  <si>
    <t>OSCP Community Services - HSP/EHA/Winter Shelter</t>
  </si>
  <si>
    <t>294</t>
  </si>
  <si>
    <t>OSCP Contracts</t>
  </si>
  <si>
    <t>483</t>
  </si>
  <si>
    <t>OSCP Energy Programs</t>
  </si>
  <si>
    <t>416</t>
  </si>
  <si>
    <t>OSCP Program Support/Budget &amp; Fiscal</t>
  </si>
  <si>
    <t>482</t>
  </si>
  <si>
    <t>OSCP Program Support/Grant Administration</t>
  </si>
  <si>
    <t>414, 485</t>
  </si>
  <si>
    <t>OSCP Program Support/Personnel/Training</t>
  </si>
  <si>
    <t>484</t>
  </si>
  <si>
    <t>OSCP School Linked Services</t>
  </si>
  <si>
    <t>412</t>
  </si>
  <si>
    <t>DCFS Youth Program Office</t>
  </si>
  <si>
    <t>274</t>
  </si>
  <si>
    <t>Public Guardian</t>
  </si>
  <si>
    <t>041</t>
  </si>
  <si>
    <t>Southeast Aging Services Office</t>
  </si>
  <si>
    <t>108</t>
  </si>
  <si>
    <t>West Aging Services Office</t>
  </si>
  <si>
    <t>042</t>
  </si>
  <si>
    <t>West Portland Disability Services Office</t>
  </si>
  <si>
    <t>328</t>
  </si>
  <si>
    <t>DCHS Total</t>
  </si>
  <si>
    <t>Department of Health</t>
  </si>
  <si>
    <t>Accounts Payable, Procurement &amp; Contracting</t>
  </si>
  <si>
    <t>309</t>
  </si>
  <si>
    <t>Administration</t>
  </si>
  <si>
    <t>165</t>
  </si>
  <si>
    <t>Binsmead Clinic</t>
  </si>
  <si>
    <t>300</t>
  </si>
  <si>
    <t>Breast &amp; Cervical Cancer Program</t>
  </si>
  <si>
    <t>271</t>
  </si>
  <si>
    <t>Children's Assessment Service</t>
  </si>
  <si>
    <t>109</t>
  </si>
  <si>
    <t>Cleveland SBHC</t>
  </si>
  <si>
    <t>061</t>
  </si>
  <si>
    <t>Coalition of Community Health Clinics</t>
  </si>
  <si>
    <t>400</t>
  </si>
  <si>
    <t>Corrections Health</t>
  </si>
  <si>
    <t>117</t>
  </si>
  <si>
    <t>Corrections Health - Inverness Jail</t>
  </si>
  <si>
    <t>357</t>
  </si>
  <si>
    <t xml:space="preserve">Corrections Health - Juvenile Services </t>
  </si>
  <si>
    <t>161</t>
  </si>
  <si>
    <t>Dental Services - Administration</t>
  </si>
  <si>
    <t>047, 283</t>
  </si>
  <si>
    <t>Dental Access Program</t>
  </si>
  <si>
    <t>278</t>
  </si>
  <si>
    <t>240</t>
  </si>
  <si>
    <t>Disease Prev &amp; Control/Comm.Disease Control</t>
  </si>
  <si>
    <t>048</t>
  </si>
  <si>
    <t>Disease Prev &amp; Control/Food Handler</t>
  </si>
  <si>
    <t>392</t>
  </si>
  <si>
    <t>ECS Program Management</t>
  </si>
  <si>
    <t>East County Dental Clinic</t>
  </si>
  <si>
    <t>457</t>
  </si>
  <si>
    <t>ECS Cascade East</t>
  </si>
  <si>
    <t>East County Health Clinic</t>
  </si>
  <si>
    <t>049</t>
  </si>
  <si>
    <t>East County Field Office</t>
  </si>
  <si>
    <t>070</t>
  </si>
  <si>
    <t>East County Pharmacy</t>
  </si>
  <si>
    <t>458</t>
  </si>
  <si>
    <t>East County Teen Clinic</t>
  </si>
  <si>
    <t>488, 534</t>
  </si>
  <si>
    <t>East County WIC</t>
  </si>
  <si>
    <t>398</t>
  </si>
  <si>
    <t>Edgefield Manor</t>
  </si>
  <si>
    <t>050</t>
  </si>
  <si>
    <t>Emergency Medical Services</t>
  </si>
  <si>
    <t>495, 051</t>
  </si>
  <si>
    <t>Environmental Health Services</t>
  </si>
  <si>
    <t>144</t>
  </si>
  <si>
    <t>George Middle SBHC</t>
  </si>
  <si>
    <t>224</t>
  </si>
  <si>
    <t>Grant SBHC</t>
  </si>
  <si>
    <t>062</t>
  </si>
  <si>
    <t>Grants Management &amp; Accounting</t>
  </si>
  <si>
    <t>129</t>
  </si>
  <si>
    <t>Health Officer</t>
  </si>
  <si>
    <t>150</t>
  </si>
  <si>
    <t>Healthy Birth Initiative</t>
  </si>
  <si>
    <t>343</t>
  </si>
  <si>
    <t>HIV Care Services</t>
  </si>
  <si>
    <t>121</t>
  </si>
  <si>
    <t>HIV &amp; Hepititis C Community Programs</t>
  </si>
  <si>
    <t>402</t>
  </si>
  <si>
    <t>HIV Health Services Center</t>
  </si>
  <si>
    <t>151</t>
  </si>
  <si>
    <t>305</t>
  </si>
  <si>
    <t>Immunization Unit</t>
  </si>
  <si>
    <t>083</t>
  </si>
  <si>
    <t>Information Systems</t>
  </si>
  <si>
    <t>040</t>
  </si>
  <si>
    <t>Jefferson SBHC</t>
  </si>
  <si>
    <t>055</t>
  </si>
  <si>
    <t>La Clinica de Buena Salud</t>
  </si>
  <si>
    <t>178</t>
  </si>
  <si>
    <t>Laboratory Services</t>
  </si>
  <si>
    <t>056</t>
  </si>
  <si>
    <t>Lane Middle SBHC</t>
  </si>
  <si>
    <t>302</t>
  </si>
  <si>
    <t>Language Services</t>
  </si>
  <si>
    <t>167</t>
  </si>
  <si>
    <t>Lead Poisoning Prevention Program</t>
  </si>
  <si>
    <t>405</t>
  </si>
  <si>
    <t>Lincoln Park SBHC</t>
  </si>
  <si>
    <t>225</t>
  </si>
  <si>
    <t>Medical Accounts Receivable</t>
  </si>
  <si>
    <t>168</t>
  </si>
  <si>
    <t>Madison SBHC</t>
  </si>
  <si>
    <t>063</t>
  </si>
  <si>
    <t>Marshall SBHC</t>
  </si>
  <si>
    <t>057</t>
  </si>
  <si>
    <t>Medical Records Management</t>
  </si>
  <si>
    <t>045</t>
  </si>
  <si>
    <t>Mid County Dental Clinic</t>
  </si>
  <si>
    <t>127</t>
  </si>
  <si>
    <t>Mid County Field Office</t>
  </si>
  <si>
    <t>289</t>
  </si>
  <si>
    <t>Mid County Health Clinic</t>
  </si>
  <si>
    <t>132</t>
  </si>
  <si>
    <t>Mid County Pharmacy</t>
  </si>
  <si>
    <t>350</t>
  </si>
  <si>
    <t>Mid County WIC</t>
  </si>
  <si>
    <t>290</t>
  </si>
  <si>
    <t>MultiCare Dental</t>
  </si>
  <si>
    <t>270</t>
  </si>
  <si>
    <t>Northeast Dental Clinic</t>
  </si>
  <si>
    <t>059</t>
  </si>
  <si>
    <t>Northeast Field Office</t>
  </si>
  <si>
    <t>066</t>
  </si>
  <si>
    <t>Northeast Health Clinic</t>
  </si>
  <si>
    <t>058</t>
  </si>
  <si>
    <t>Northeast Healthy Start</t>
  </si>
  <si>
    <t>522</t>
  </si>
  <si>
    <t>Northeast WIC</t>
  </si>
  <si>
    <t>044</t>
  </si>
  <si>
    <t>ECS Willamette North</t>
  </si>
  <si>
    <t>069</t>
  </si>
  <si>
    <t>North Portland Health Clinic</t>
  </si>
  <si>
    <t>043</t>
  </si>
  <si>
    <t>North Portland Pharmacy</t>
  </si>
  <si>
    <t>324</t>
  </si>
  <si>
    <t>Occupational Health</t>
  </si>
  <si>
    <t>284</t>
  </si>
  <si>
    <t>Pharmacies, Clinic</t>
  </si>
  <si>
    <t>440</t>
  </si>
  <si>
    <t>Parkrose SBHC</t>
  </si>
  <si>
    <t>064</t>
  </si>
  <si>
    <t>Planning &amp; Development</t>
  </si>
  <si>
    <t>315</t>
  </si>
  <si>
    <t>P&amp;D/Program Design &amp; Evaluation</t>
  </si>
  <si>
    <t>Portland Womens' Health Study</t>
  </si>
  <si>
    <t>478</t>
  </si>
  <si>
    <t>Portsmouth SBHC</t>
  </si>
  <si>
    <t>288</t>
  </si>
  <si>
    <t>Primary Care Clinics - Administration</t>
  </si>
  <si>
    <t>381</t>
  </si>
  <si>
    <t>Rockwood Community Clinic</t>
  </si>
  <si>
    <t>445</t>
  </si>
  <si>
    <t>Roosevelt SBHC</t>
  </si>
  <si>
    <t>065</t>
  </si>
  <si>
    <t>SBHC Administration</t>
  </si>
  <si>
    <t>450</t>
  </si>
  <si>
    <t>School &amp; Community Dental Services</t>
  </si>
  <si>
    <t>105</t>
  </si>
  <si>
    <t>Southeast Dental Clinic</t>
  </si>
  <si>
    <t>060</t>
  </si>
  <si>
    <t>Southeast/Westside Field Office</t>
  </si>
  <si>
    <t>067</t>
  </si>
  <si>
    <t>Southeast Health Clinic</t>
  </si>
  <si>
    <t>034</t>
  </si>
  <si>
    <t>Southeast WIC</t>
  </si>
  <si>
    <t>130</t>
  </si>
  <si>
    <t>STD Clinic &amp; Epidemiology</t>
  </si>
  <si>
    <t>071</t>
  </si>
  <si>
    <t>Support Services - Administration</t>
  </si>
  <si>
    <t>310</t>
  </si>
  <si>
    <t>Tuberculosis Clinic</t>
  </si>
  <si>
    <t>072</t>
  </si>
  <si>
    <t>Vector Control</t>
  </si>
  <si>
    <t>267</t>
  </si>
  <si>
    <t>Westside/Burnside Health Clinic</t>
  </si>
  <si>
    <t>073</t>
  </si>
  <si>
    <t>Westside Pharmacy</t>
  </si>
  <si>
    <t>292</t>
  </si>
  <si>
    <t>Whitaker SBHC</t>
  </si>
  <si>
    <t>321</t>
  </si>
  <si>
    <t>WIC Administration</t>
  </si>
  <si>
    <t>441</t>
  </si>
  <si>
    <t>DOH Total</t>
  </si>
  <si>
    <t>Department of Library Services</t>
  </si>
  <si>
    <t>Administrative Services</t>
  </si>
  <si>
    <t>157</t>
  </si>
  <si>
    <t>125</t>
  </si>
  <si>
    <t>407</t>
  </si>
  <si>
    <t>Youth Services</t>
  </si>
  <si>
    <t>406</t>
  </si>
  <si>
    <t>DLS Total</t>
  </si>
  <si>
    <t>Non-Departmental</t>
  </si>
  <si>
    <t>Chair's Office</t>
  </si>
  <si>
    <t>086</t>
  </si>
  <si>
    <t>Citizen Involvment</t>
  </si>
  <si>
    <t>492</t>
  </si>
  <si>
    <t>Clerk of the Board</t>
  </si>
  <si>
    <t>087</t>
  </si>
  <si>
    <t>Commission on Children, Families, &amp; Community</t>
  </si>
  <si>
    <t>459</t>
  </si>
  <si>
    <t>Commissioner, District 2</t>
  </si>
  <si>
    <t>234</t>
  </si>
  <si>
    <t>Commissioner, District 3</t>
  </si>
  <si>
    <t>235</t>
  </si>
  <si>
    <t>County Attorney</t>
  </si>
  <si>
    <t>088</t>
  </si>
  <si>
    <t>County Auditor</t>
  </si>
  <si>
    <t>084</t>
  </si>
  <si>
    <t>Local Public Safety Coordinating Council</t>
  </si>
  <si>
    <t>356</t>
  </si>
  <si>
    <t>District Attorney</t>
  </si>
  <si>
    <t>089, 090, 091</t>
  </si>
  <si>
    <t>District Attorney - Administrative Services</t>
  </si>
  <si>
    <t>093</t>
  </si>
  <si>
    <t>District Attorney - Domestic Violence Unit</t>
  </si>
  <si>
    <t>171</t>
  </si>
  <si>
    <t>District Attorney - Family &amp; Community Justice</t>
  </si>
  <si>
    <t>477</t>
  </si>
  <si>
    <t>District Attorney - Felony Court Division</t>
  </si>
  <si>
    <t>451</t>
  </si>
  <si>
    <t>District Attorney - Gresham Trial Unit</t>
  </si>
  <si>
    <t>529</t>
  </si>
  <si>
    <t>District Attorney - Intake</t>
  </si>
  <si>
    <t>113</t>
  </si>
  <si>
    <t>District Attorney - Juvenile Court Trial Unit</t>
  </si>
  <si>
    <t>114</t>
  </si>
  <si>
    <t>District Attorney - Medical Examiner</t>
  </si>
  <si>
    <t>081</t>
  </si>
  <si>
    <t>State Medical Examiner</t>
  </si>
  <si>
    <t>082</t>
  </si>
  <si>
    <t>District Attorney - Misdemeanor Trial Unit</t>
  </si>
  <si>
    <t>452</t>
  </si>
  <si>
    <t>District Attorney - Office of the District Attorney</t>
  </si>
  <si>
    <t>428</t>
  </si>
  <si>
    <t>District Attorney - Child Abuse Unit</t>
  </si>
  <si>
    <t>344</t>
  </si>
  <si>
    <t>District Attorney - Child Support Enforcement</t>
  </si>
  <si>
    <t>094</t>
  </si>
  <si>
    <t>District Attorney - SED Gresham</t>
  </si>
  <si>
    <t>390</t>
  </si>
  <si>
    <t>District Attorney - Mental Commitments</t>
  </si>
  <si>
    <t>327</t>
  </si>
  <si>
    <t>District Attorney - Unit B</t>
  </si>
  <si>
    <t>337</t>
  </si>
  <si>
    <t>District Attorney - Unit D</t>
  </si>
  <si>
    <t>378</t>
  </si>
  <si>
    <t>District Attorney - Victims Assistance</t>
  </si>
  <si>
    <t>149</t>
  </si>
  <si>
    <t>DA Total</t>
  </si>
  <si>
    <t>MCSO</t>
  </si>
  <si>
    <t>MCSO - Administration</t>
  </si>
  <si>
    <t>095</t>
  </si>
  <si>
    <t>MCSO - Auxiliary Svcs/Warehouse</t>
  </si>
  <si>
    <t>295</t>
  </si>
  <si>
    <t>MCSO - Booking</t>
  </si>
  <si>
    <t>266</t>
  </si>
  <si>
    <t>MCSO - Civil Process Unit</t>
  </si>
  <si>
    <t>096</t>
  </si>
  <si>
    <t>MCSO - Classification</t>
  </si>
  <si>
    <t>097</t>
  </si>
  <si>
    <t>MCSO - Close Street</t>
  </si>
  <si>
    <t>100</t>
  </si>
  <si>
    <t>MCSO - Corrections Administration</t>
  </si>
  <si>
    <t>147</t>
  </si>
  <si>
    <t>MCSO - Counseling</t>
  </si>
  <si>
    <t>098</t>
  </si>
  <si>
    <t>MCSO - Enforcement/Support</t>
  </si>
  <si>
    <t>496</t>
  </si>
  <si>
    <t>MCSO - Facilities Security, Courthouse</t>
  </si>
  <si>
    <t>111</t>
  </si>
  <si>
    <t>MCSO - Facility Services/Administration</t>
  </si>
  <si>
    <t>432</t>
  </si>
  <si>
    <t>MCSO - Fiscal</t>
  </si>
  <si>
    <t>358</t>
  </si>
  <si>
    <t>MCSO - Inmate Property</t>
  </si>
  <si>
    <t>329</t>
  </si>
  <si>
    <t>MCSO - Inspections</t>
  </si>
  <si>
    <t>308</t>
  </si>
  <si>
    <t>MCSO - Inverness Jail</t>
  </si>
  <si>
    <t>124</t>
  </si>
  <si>
    <t>MCSO - Investigations</t>
  </si>
  <si>
    <t>103</t>
  </si>
  <si>
    <t>MCSO - MCCF</t>
  </si>
  <si>
    <t>277</t>
  </si>
  <si>
    <t>MCSO - MCDC</t>
  </si>
  <si>
    <t>403</t>
  </si>
  <si>
    <t>MCSO - Human Resources</t>
  </si>
  <si>
    <t>102, 264,330</t>
  </si>
  <si>
    <t>MCSO - Planning &amp; Research</t>
  </si>
  <si>
    <t>404</t>
  </si>
  <si>
    <t>MCSO - Pre-Trial Release Supervision Program</t>
  </si>
  <si>
    <t>265</t>
  </si>
  <si>
    <t>MCSO - Records Unit</t>
  </si>
  <si>
    <t>110</t>
  </si>
  <si>
    <t>MCSO Total</t>
  </si>
  <si>
    <t>Community Health/Medicaid Eligibility</t>
  </si>
  <si>
    <t>286</t>
  </si>
  <si>
    <t>Appointment &amp; Information Center</t>
  </si>
  <si>
    <t>379</t>
  </si>
  <si>
    <t>Volunteer Services</t>
  </si>
  <si>
    <t>370</t>
  </si>
  <si>
    <t>497, 480</t>
  </si>
  <si>
    <t>115, 146, 239, 521</t>
  </si>
  <si>
    <t>490, 536</t>
  </si>
  <si>
    <t>Human Resources - DCM</t>
  </si>
  <si>
    <t>Neighborhood Health Clinics</t>
  </si>
  <si>
    <t>037</t>
  </si>
  <si>
    <t>013, 106</t>
  </si>
  <si>
    <t>MCSO - Auxiliary Svcs/Equipment</t>
  </si>
  <si>
    <t>148</t>
  </si>
  <si>
    <t>312</t>
  </si>
  <si>
    <t>Technical Services</t>
  </si>
  <si>
    <t>346</t>
  </si>
  <si>
    <t>Human Resources - Classification/Compensation</t>
  </si>
  <si>
    <t>391</t>
  </si>
  <si>
    <t>Circulation Services</t>
  </si>
  <si>
    <t>426</t>
  </si>
  <si>
    <t>LUT/Engineering Support</t>
  </si>
  <si>
    <t>465</t>
  </si>
  <si>
    <t>River Rock Program</t>
  </si>
  <si>
    <t>489</t>
  </si>
  <si>
    <t>502</t>
  </si>
  <si>
    <t>LUT/Safety</t>
  </si>
  <si>
    <t>LUT/Road Maintenance</t>
  </si>
  <si>
    <t>503</t>
  </si>
  <si>
    <t>Regional Crisis Diversion Svcs/Region 1</t>
  </si>
  <si>
    <t>538</t>
  </si>
  <si>
    <t>North Nurse Family Partnership</t>
  </si>
  <si>
    <t>539</t>
  </si>
  <si>
    <t>FY 2008-2009</t>
  </si>
  <si>
    <t>(as of 10/14/09)</t>
  </si>
  <si>
    <t>Commissioner, District 1</t>
  </si>
  <si>
    <t>233</t>
  </si>
  <si>
    <t>Commissioner, District 4</t>
  </si>
  <si>
    <t>236</t>
  </si>
  <si>
    <t>Sex Offender Unit (MTSX)</t>
  </si>
  <si>
    <t>508</t>
  </si>
  <si>
    <t>Northeast Nurse Family Partnership</t>
  </si>
  <si>
    <t>540</t>
  </si>
  <si>
    <t>Assessment &amp; Treatment for Youth &amp; Families (ATYF)</t>
  </si>
  <si>
    <t>541</t>
  </si>
  <si>
    <t>446, 542</t>
  </si>
  <si>
    <t>F&amp;PM/Alarms</t>
  </si>
  <si>
    <t>545</t>
  </si>
  <si>
    <t>Yamhill County Community Corrections</t>
  </si>
  <si>
    <t>222</t>
  </si>
  <si>
    <t>Columbia Villa</t>
  </si>
  <si>
    <t>248</t>
  </si>
  <si>
    <t>Change in % of allocation</t>
  </si>
  <si>
    <t>Change in $'s Allocated</t>
  </si>
  <si>
    <t>Department of Community Services</t>
  </si>
  <si>
    <t>Outside Agency Revenue -reducing allocation to departments</t>
  </si>
  <si>
    <t>FY10 % of Total</t>
  </si>
  <si>
    <t>Non-Departmental Total</t>
  </si>
  <si>
    <t xml:space="preserve">(Note: excludes Regional Drug, State Juvenile Court) </t>
  </si>
  <si>
    <t>FY11 Budget Allocation</t>
  </si>
  <si>
    <t>FY11 Allocation for Records Services</t>
  </si>
  <si>
    <t>FY11 % of Total</t>
  </si>
  <si>
    <t xml:space="preserve">  FY11 Budget Allocation</t>
  </si>
  <si>
    <t>FY10 Budget  Allocation</t>
  </si>
  <si>
    <t>Comparison to FY10 Budget Allocation</t>
  </si>
  <si>
    <t>FY10 Allocation for Records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</si>
</sst>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%"/>
    <numFmt numFmtId="167" formatCode="&quot;$&quot;#,##0.0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21" applyNumberFormat="1" applyFont="1" applyFill="1" applyAlignment="1">
      <alignment/>
    </xf>
    <xf numFmtId="10" fontId="0" fillId="0" borderId="0" xfId="0" applyNumberFormat="1" applyFill="1" applyAlignment="1">
      <alignment/>
    </xf>
    <xf numFmtId="10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10" fontId="1" fillId="0" borderId="0" xfId="21" applyNumberFormat="1" applyFont="1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1" fillId="0" borderId="0" xfId="21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49" fontId="1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10" fontId="1" fillId="2" borderId="1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165" fontId="1" fillId="2" borderId="0" xfId="0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/>
    </xf>
    <xf numFmtId="165" fontId="1" fillId="2" borderId="4" xfId="0" applyNumberFormat="1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10" fillId="0" borderId="0" xfId="0" applyFont="1" applyFill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64" fontId="0" fillId="2" borderId="7" xfId="21" applyNumberFormat="1" applyFont="1" applyFill="1" applyBorder="1" applyAlignment="1">
      <alignment/>
    </xf>
    <xf numFmtId="10" fontId="0" fillId="2" borderId="7" xfId="0" applyNumberFormat="1" applyFill="1" applyBorder="1" applyAlignment="1">
      <alignment/>
    </xf>
    <xf numFmtId="10" fontId="0" fillId="2" borderId="8" xfId="0" applyNumberForma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21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21" applyNumberFormat="1" applyFont="1" applyBorder="1" applyAlignment="1">
      <alignment horizontal="right"/>
    </xf>
    <xf numFmtId="10" fontId="1" fillId="0" borderId="0" xfId="21" applyNumberFormat="1" applyFont="1" applyBorder="1" applyAlignment="1">
      <alignment horizontal="right"/>
    </xf>
    <xf numFmtId="10" fontId="1" fillId="0" borderId="2" xfId="21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1" fillId="0" borderId="0" xfId="21" applyNumberFormat="1" applyFont="1" applyBorder="1" applyAlignment="1">
      <alignment/>
    </xf>
    <xf numFmtId="166" fontId="1" fillId="2" borderId="1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0" fontId="1" fillId="2" borderId="1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/>
    </xf>
    <xf numFmtId="166" fontId="0" fillId="0" borderId="0" xfId="21" applyNumberFormat="1" applyFont="1" applyBorder="1" applyAlignment="1">
      <alignment/>
    </xf>
    <xf numFmtId="10" fontId="0" fillId="0" borderId="1" xfId="0" applyNumberFormat="1" applyFill="1" applyBorder="1" applyAlignment="1">
      <alignment/>
    </xf>
    <xf numFmtId="8" fontId="0" fillId="0" borderId="2" xfId="0" applyNumberFormat="1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21" applyNumberFormat="1" applyFont="1" applyFill="1" applyBorder="1" applyAlignment="1">
      <alignment/>
    </xf>
    <xf numFmtId="166" fontId="0" fillId="0" borderId="0" xfId="21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164" fontId="0" fillId="0" borderId="4" xfId="21" applyNumberFormat="1" applyFont="1" applyBorder="1" applyAlignment="1">
      <alignment/>
    </xf>
    <xf numFmtId="10" fontId="0" fillId="0" borderId="4" xfId="0" applyNumberFormat="1" applyBorder="1" applyAlignment="1">
      <alignment/>
    </xf>
    <xf numFmtId="10" fontId="1" fillId="2" borderId="11" xfId="0" applyNumberFormat="1" applyFont="1" applyFill="1" applyBorder="1" applyAlignment="1">
      <alignment/>
    </xf>
    <xf numFmtId="165" fontId="1" fillId="2" borderId="4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ont="1" applyAlignment="1">
      <alignment/>
    </xf>
    <xf numFmtId="164" fontId="0" fillId="0" borderId="0" xfId="21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0" fontId="0" fillId="0" borderId="7" xfId="0" applyFont="1" applyBorder="1" applyAlignment="1">
      <alignment/>
    </xf>
    <xf numFmtId="164" fontId="0" fillId="0" borderId="7" xfId="21" applyNumberFormat="1" applyFont="1" applyBorder="1" applyAlignment="1">
      <alignment/>
    </xf>
    <xf numFmtId="10" fontId="0" fillId="0" borderId="7" xfId="0" applyNumberFormat="1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5" fontId="1" fillId="0" borderId="8" xfId="17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5" fontId="1" fillId="0" borderId="0" xfId="17" applyNumberFormat="1" applyFont="1" applyBorder="1" applyAlignment="1">
      <alignment/>
    </xf>
    <xf numFmtId="5" fontId="0" fillId="0" borderId="0" xfId="0" applyNumberFormat="1" applyBorder="1" applyAlignment="1">
      <alignment/>
    </xf>
    <xf numFmtId="0" fontId="1" fillId="2" borderId="12" xfId="0" applyFont="1" applyFill="1" applyBorder="1" applyAlignment="1">
      <alignment/>
    </xf>
    <xf numFmtId="166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21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166" fontId="1" fillId="0" borderId="2" xfId="21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10" fontId="1" fillId="0" borderId="2" xfId="0" applyNumberFormat="1" applyFont="1" applyFill="1" applyBorder="1" applyAlignment="1">
      <alignment/>
    </xf>
    <xf numFmtId="0" fontId="0" fillId="0" borderId="10" xfId="0" applyBorder="1" applyAlignment="1">
      <alignment/>
    </xf>
    <xf numFmtId="10" fontId="1" fillId="0" borderId="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10" fontId="1" fillId="0" borderId="5" xfId="21" applyNumberFormat="1" applyFont="1" applyBorder="1" applyAlignment="1">
      <alignment/>
    </xf>
    <xf numFmtId="5" fontId="1" fillId="3" borderId="14" xfId="17" applyNumberFormat="1" applyFont="1" applyFill="1" applyBorder="1" applyAlignment="1">
      <alignment/>
    </xf>
    <xf numFmtId="8" fontId="1" fillId="0" borderId="2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36.8515625" style="0" bestFit="1" customWidth="1"/>
    <col min="2" max="2" width="7.28125" style="0" bestFit="1" customWidth="1"/>
    <col min="3" max="3" width="6.28125" style="0" bestFit="1" customWidth="1"/>
    <col min="4" max="4" width="11.7109375" style="0" bestFit="1" customWidth="1"/>
    <col min="5" max="5" width="6.28125" style="0" bestFit="1" customWidth="1"/>
    <col min="6" max="6" width="7.421875" style="0" bestFit="1" customWidth="1"/>
    <col min="7" max="7" width="6.28125" style="0" bestFit="1" customWidth="1"/>
    <col min="8" max="8" width="8.57421875" style="0" bestFit="1" customWidth="1"/>
    <col min="9" max="9" width="2.7109375" style="0" customWidth="1"/>
    <col min="10" max="10" width="8.28125" style="0" customWidth="1"/>
    <col min="12" max="12" width="5.8515625" style="0" customWidth="1"/>
    <col min="13" max="13" width="4.7109375" style="0" customWidth="1"/>
    <col min="14" max="14" width="7.8515625" style="0" customWidth="1"/>
    <col min="15" max="15" width="9.28125" style="0" bestFit="1" customWidth="1"/>
    <col min="16" max="16" width="4.7109375" style="0" customWidth="1"/>
    <col min="17" max="17" width="13.00390625" style="0" customWidth="1"/>
    <col min="18" max="18" width="12.7109375" style="0" customWidth="1"/>
    <col min="19" max="19" width="11.28125" style="0" bestFit="1" customWidth="1"/>
  </cols>
  <sheetData>
    <row r="1" spans="1:18" ht="43.5" customHeight="1" thickBot="1">
      <c r="A1" s="29" t="s">
        <v>611</v>
      </c>
      <c r="B1" s="30"/>
      <c r="C1" s="31"/>
      <c r="D1" s="30"/>
      <c r="E1" s="31"/>
      <c r="F1" s="30"/>
      <c r="G1" s="31"/>
      <c r="H1" s="32"/>
      <c r="I1" s="33"/>
      <c r="J1" s="34"/>
      <c r="K1" s="125" t="s">
        <v>1</v>
      </c>
      <c r="L1" s="126"/>
      <c r="N1" s="118" t="s">
        <v>615</v>
      </c>
      <c r="O1" s="119"/>
      <c r="P1" s="119"/>
      <c r="Q1" s="119"/>
      <c r="R1" s="120"/>
    </row>
    <row r="2" spans="1:18" ht="12.75">
      <c r="A2" s="35"/>
      <c r="B2" s="36"/>
      <c r="C2" s="37"/>
      <c r="D2" s="36"/>
      <c r="E2" s="37"/>
      <c r="F2" s="36"/>
      <c r="G2" s="37"/>
      <c r="H2" s="38"/>
      <c r="I2" s="39"/>
      <c r="J2" s="127" t="s">
        <v>612</v>
      </c>
      <c r="K2" s="129" t="s">
        <v>613</v>
      </c>
      <c r="L2" s="130"/>
      <c r="N2" s="121" t="s">
        <v>607</v>
      </c>
      <c r="O2" s="123" t="s">
        <v>614</v>
      </c>
      <c r="P2" s="40"/>
      <c r="Q2" s="121" t="s">
        <v>603</v>
      </c>
      <c r="R2" s="123" t="s">
        <v>604</v>
      </c>
    </row>
    <row r="3" spans="1:18" ht="12.75">
      <c r="A3" s="35"/>
      <c r="B3" s="41" t="s">
        <v>2</v>
      </c>
      <c r="C3" s="42" t="s">
        <v>3</v>
      </c>
      <c r="D3" s="41" t="s">
        <v>4</v>
      </c>
      <c r="E3" s="42" t="s">
        <v>3</v>
      </c>
      <c r="F3" s="41" t="s">
        <v>4</v>
      </c>
      <c r="G3" s="42" t="s">
        <v>3</v>
      </c>
      <c r="H3" s="43" t="s">
        <v>5</v>
      </c>
      <c r="I3" s="44"/>
      <c r="J3" s="128"/>
      <c r="K3" s="131"/>
      <c r="L3" s="132"/>
      <c r="N3" s="122"/>
      <c r="O3" s="124"/>
      <c r="P3" s="40"/>
      <c r="Q3" s="122"/>
      <c r="R3" s="124"/>
    </row>
    <row r="4" spans="1:18" ht="12.75">
      <c r="A4" s="45" t="s">
        <v>6</v>
      </c>
      <c r="B4" s="46" t="s">
        <v>8</v>
      </c>
      <c r="C4" s="42" t="s">
        <v>9</v>
      </c>
      <c r="D4" s="46" t="s">
        <v>10</v>
      </c>
      <c r="E4" s="42" t="s">
        <v>9</v>
      </c>
      <c r="F4" s="46" t="s">
        <v>11</v>
      </c>
      <c r="G4" s="42" t="s">
        <v>9</v>
      </c>
      <c r="H4" s="43" t="s">
        <v>12</v>
      </c>
      <c r="I4" s="47"/>
      <c r="J4" s="48"/>
      <c r="K4" s="114">
        <f>777116-34799-26500</f>
        <v>715817</v>
      </c>
      <c r="L4" s="115"/>
      <c r="N4" s="49"/>
      <c r="O4" s="50">
        <v>776279</v>
      </c>
      <c r="P4" s="40"/>
      <c r="Q4" s="6">
        <f>R4/O4</f>
        <v>-0.07788694528642408</v>
      </c>
      <c r="R4" s="112">
        <f>K4-O4</f>
        <v>-60462</v>
      </c>
    </row>
    <row r="5" spans="1:18" ht="12.75">
      <c r="A5" s="52"/>
      <c r="B5" s="36"/>
      <c r="C5" s="37"/>
      <c r="D5" s="36"/>
      <c r="E5" s="37"/>
      <c r="F5" s="36"/>
      <c r="G5" s="37"/>
      <c r="H5" s="47"/>
      <c r="I5" s="47"/>
      <c r="J5" s="53"/>
      <c r="K5" s="22"/>
      <c r="L5" s="23"/>
      <c r="N5" s="54"/>
      <c r="O5" s="51"/>
      <c r="P5" s="55"/>
      <c r="Q5" s="54"/>
      <c r="R5" s="9"/>
    </row>
    <row r="6" spans="1:18" ht="12.75">
      <c r="A6" s="52" t="s">
        <v>13</v>
      </c>
      <c r="B6" s="36">
        <v>1120</v>
      </c>
      <c r="C6" s="37">
        <v>0.08884658099317785</v>
      </c>
      <c r="D6" s="36">
        <v>532</v>
      </c>
      <c r="E6" s="37">
        <v>0.08965284799460735</v>
      </c>
      <c r="F6" s="36">
        <v>3364</v>
      </c>
      <c r="G6" s="37">
        <v>0.09906646641340519</v>
      </c>
      <c r="H6" s="56">
        <v>0.09252196513373012</v>
      </c>
      <c r="I6" s="47"/>
      <c r="J6" s="53">
        <v>0.0925</v>
      </c>
      <c r="K6" s="114">
        <f>ROUND($K$4*J6,2)</f>
        <v>66213.07</v>
      </c>
      <c r="L6" s="115"/>
      <c r="N6" s="6">
        <v>0.11113988697056243</v>
      </c>
      <c r="O6" s="51">
        <v>86245</v>
      </c>
      <c r="P6" s="55"/>
      <c r="Q6" s="57">
        <f>R6/O6</f>
        <v>-0.2322677256652559</v>
      </c>
      <c r="R6" s="58">
        <f>K6-O6</f>
        <v>-20031.929999999993</v>
      </c>
    </row>
    <row r="7" spans="1:18" ht="12.75">
      <c r="A7" s="52"/>
      <c r="B7" s="36"/>
      <c r="C7" s="37"/>
      <c r="D7" s="36"/>
      <c r="E7" s="37"/>
      <c r="F7" s="36"/>
      <c r="G7" s="37"/>
      <c r="H7" s="56"/>
      <c r="I7" s="47"/>
      <c r="J7" s="53"/>
      <c r="K7" s="22"/>
      <c r="L7" s="23"/>
      <c r="N7" s="6"/>
      <c r="O7" s="51"/>
      <c r="P7" s="40"/>
      <c r="Q7" s="54"/>
      <c r="R7" s="58"/>
    </row>
    <row r="8" spans="1:18" ht="12.75">
      <c r="A8" s="52" t="s">
        <v>605</v>
      </c>
      <c r="B8" s="36">
        <v>115</v>
      </c>
      <c r="C8" s="37">
        <v>0.00912264001269237</v>
      </c>
      <c r="D8" s="36">
        <v>263</v>
      </c>
      <c r="E8" s="37">
        <v>0.04432086282440175</v>
      </c>
      <c r="F8" s="36">
        <v>1284</v>
      </c>
      <c r="G8" s="37">
        <v>0.03781252760844597</v>
      </c>
      <c r="H8" s="56">
        <v>0.03041867681518003</v>
      </c>
      <c r="I8" s="47"/>
      <c r="J8" s="53">
        <v>0.0304</v>
      </c>
      <c r="K8" s="114">
        <f>ROUND($K$4*J8,2)</f>
        <v>21760.84</v>
      </c>
      <c r="L8" s="115"/>
      <c r="N8" s="6">
        <v>0.02931636200694362</v>
      </c>
      <c r="O8" s="51">
        <v>22745</v>
      </c>
      <c r="P8" s="55"/>
      <c r="Q8" s="57">
        <f>R8/O8</f>
        <v>-0.043269289953836</v>
      </c>
      <c r="R8" s="58">
        <f>K8-O8</f>
        <v>-984.1599999999999</v>
      </c>
    </row>
    <row r="9" spans="1:18" ht="12.75">
      <c r="A9" s="59"/>
      <c r="B9" s="36"/>
      <c r="C9" s="37"/>
      <c r="D9" s="36"/>
      <c r="E9" s="37"/>
      <c r="F9" s="36"/>
      <c r="G9" s="37"/>
      <c r="H9" s="56"/>
      <c r="I9" s="47"/>
      <c r="J9" s="53"/>
      <c r="K9" s="22"/>
      <c r="L9" s="23"/>
      <c r="N9" s="6"/>
      <c r="O9" s="51"/>
      <c r="P9" s="40"/>
      <c r="Q9" s="54"/>
      <c r="R9" s="58"/>
    </row>
    <row r="10" spans="1:18" ht="12.75">
      <c r="A10" s="52" t="s">
        <v>111</v>
      </c>
      <c r="B10" s="36">
        <v>1462</v>
      </c>
      <c r="C10" s="37">
        <v>0.11597651911788037</v>
      </c>
      <c r="D10" s="36">
        <v>486</v>
      </c>
      <c r="E10" s="37">
        <v>0.08190091001011122</v>
      </c>
      <c r="F10" s="36">
        <v>3477</v>
      </c>
      <c r="G10" s="37">
        <v>0.10239420443502076</v>
      </c>
      <c r="H10" s="56">
        <v>0.10009054452100412</v>
      </c>
      <c r="I10" s="47"/>
      <c r="J10" s="53">
        <v>0.1001</v>
      </c>
      <c r="K10" s="114">
        <f>ROUND($K$4*J10,2)</f>
        <v>71653.28</v>
      </c>
      <c r="L10" s="115"/>
      <c r="N10" s="6">
        <v>0.12604110552378855</v>
      </c>
      <c r="O10" s="51">
        <v>97811</v>
      </c>
      <c r="P10" s="55"/>
      <c r="Q10" s="57">
        <v>-0.02594110552378856</v>
      </c>
      <c r="R10" s="58">
        <f>K10-O10</f>
        <v>-26157.72</v>
      </c>
    </row>
    <row r="11" spans="1:18" ht="12.75">
      <c r="A11" s="54"/>
      <c r="B11" s="60"/>
      <c r="C11" s="61"/>
      <c r="D11" s="60"/>
      <c r="E11" s="61"/>
      <c r="F11" s="60"/>
      <c r="G11" s="61"/>
      <c r="H11" s="62"/>
      <c r="I11" s="63"/>
      <c r="J11" s="53"/>
      <c r="K11" s="22"/>
      <c r="L11" s="23"/>
      <c r="M11" s="7"/>
      <c r="N11" s="6"/>
      <c r="O11" s="51"/>
      <c r="P11" s="64"/>
      <c r="Q11" s="54"/>
      <c r="R11" s="58"/>
    </row>
    <row r="12" spans="1:18" ht="12.75">
      <c r="A12" s="52" t="s">
        <v>180</v>
      </c>
      <c r="B12" s="36">
        <v>1607</v>
      </c>
      <c r="C12" s="37">
        <v>0.1274789782643186</v>
      </c>
      <c r="D12" s="36">
        <v>920</v>
      </c>
      <c r="E12" s="37">
        <v>0.15503875968992248</v>
      </c>
      <c r="F12" s="36">
        <v>6879</v>
      </c>
      <c r="G12" s="37">
        <v>0.20257973319197808</v>
      </c>
      <c r="H12" s="56">
        <v>0.16169915704873972</v>
      </c>
      <c r="I12" s="47"/>
      <c r="J12" s="53">
        <v>0.1617</v>
      </c>
      <c r="K12" s="114">
        <f>ROUND($K$4*J12,2)</f>
        <v>115747.61</v>
      </c>
      <c r="L12" s="115"/>
      <c r="N12" s="6">
        <v>0.15496244673389545</v>
      </c>
      <c r="O12" s="51">
        <v>120323</v>
      </c>
      <c r="P12" s="55"/>
      <c r="Q12" s="57">
        <f>R12/O12</f>
        <v>-0.03802589696068083</v>
      </c>
      <c r="R12" s="58">
        <f>K12-O12</f>
        <v>-4575.389999999999</v>
      </c>
    </row>
    <row r="13" spans="1:18" ht="12.75">
      <c r="A13" s="54"/>
      <c r="B13" s="60"/>
      <c r="C13" s="61"/>
      <c r="D13" s="60"/>
      <c r="E13" s="61"/>
      <c r="F13" s="60"/>
      <c r="G13" s="61"/>
      <c r="H13" s="62"/>
      <c r="I13" s="63"/>
      <c r="J13" s="53"/>
      <c r="K13" s="22"/>
      <c r="L13" s="23"/>
      <c r="M13" s="7"/>
      <c r="N13" s="6"/>
      <c r="O13" s="51"/>
      <c r="P13" s="64"/>
      <c r="Q13" s="54"/>
      <c r="R13" s="58"/>
    </row>
    <row r="14" spans="1:18" ht="12.75">
      <c r="A14" s="52" t="s">
        <v>269</v>
      </c>
      <c r="B14" s="36">
        <v>4344</v>
      </c>
      <c r="C14" s="37">
        <v>0.34459781056639693</v>
      </c>
      <c r="D14" s="36">
        <v>1983</v>
      </c>
      <c r="E14" s="37">
        <v>0.33417593528816986</v>
      </c>
      <c r="F14" s="36">
        <v>7514</v>
      </c>
      <c r="G14" s="37">
        <v>0.22127985393291516</v>
      </c>
      <c r="H14" s="56">
        <v>0.30001786659582735</v>
      </c>
      <c r="I14" s="47"/>
      <c r="J14" s="53">
        <v>0.3</v>
      </c>
      <c r="K14" s="114">
        <f>ROUND($K$4*J14,2)</f>
        <v>214745.1</v>
      </c>
      <c r="L14" s="115"/>
      <c r="N14" s="6">
        <v>0.26933241477790437</v>
      </c>
      <c r="O14" s="51">
        <v>209052</v>
      </c>
      <c r="P14" s="55"/>
      <c r="Q14" s="57">
        <f>R14/O14</f>
        <v>0.027232937259629213</v>
      </c>
      <c r="R14" s="58">
        <f>K14-O14</f>
        <v>5693.100000000006</v>
      </c>
    </row>
    <row r="15" spans="1:18" ht="12.75">
      <c r="A15" s="35"/>
      <c r="B15" s="36"/>
      <c r="C15" s="37"/>
      <c r="D15" s="36"/>
      <c r="E15" s="37"/>
      <c r="F15" s="36"/>
      <c r="G15" s="37"/>
      <c r="H15" s="56"/>
      <c r="I15" s="38"/>
      <c r="J15" s="53"/>
      <c r="K15" s="22"/>
      <c r="L15" s="23"/>
      <c r="N15" s="6"/>
      <c r="O15" s="51"/>
      <c r="P15" s="40"/>
      <c r="Q15" s="54"/>
      <c r="R15" s="58"/>
    </row>
    <row r="16" spans="1:18" ht="12.75">
      <c r="A16" s="52" t="s">
        <v>438</v>
      </c>
      <c r="B16" s="36">
        <v>40</v>
      </c>
      <c r="C16" s="37">
        <v>0.0031730921783277802</v>
      </c>
      <c r="D16" s="36">
        <v>70</v>
      </c>
      <c r="E16" s="37">
        <v>0.011796427367711493</v>
      </c>
      <c r="F16" s="36">
        <v>350</v>
      </c>
      <c r="G16" s="37">
        <v>0.01030715316429602</v>
      </c>
      <c r="H16" s="56">
        <v>0.008425557570111765</v>
      </c>
      <c r="I16" s="47"/>
      <c r="J16" s="53">
        <v>0.0084</v>
      </c>
      <c r="K16" s="114">
        <f>ROUND($K$4*J16,2)</f>
        <v>6012.86</v>
      </c>
      <c r="L16" s="115"/>
      <c r="N16" s="6">
        <v>0.005405043802488803</v>
      </c>
      <c r="O16" s="51">
        <v>4192</v>
      </c>
      <c r="P16" s="55"/>
      <c r="Q16" s="57">
        <f>R16/O16</f>
        <v>0.4343654580152671</v>
      </c>
      <c r="R16" s="58">
        <f>K16-O16</f>
        <v>1820.8599999999997</v>
      </c>
    </row>
    <row r="17" spans="1:18" ht="12.75">
      <c r="A17" s="35"/>
      <c r="B17" s="36"/>
      <c r="C17" s="37"/>
      <c r="D17" s="36"/>
      <c r="E17" s="37"/>
      <c r="F17" s="36"/>
      <c r="G17" s="37"/>
      <c r="H17" s="56"/>
      <c r="I17" s="38"/>
      <c r="J17" s="53"/>
      <c r="K17" s="22"/>
      <c r="L17" s="23"/>
      <c r="N17" s="6"/>
      <c r="O17" s="51"/>
      <c r="P17" s="40"/>
      <c r="Q17" s="54"/>
      <c r="R17" s="58"/>
    </row>
    <row r="18" spans="1:18" ht="12.75">
      <c r="A18" s="52" t="s">
        <v>446</v>
      </c>
      <c r="B18" s="36">
        <v>116</v>
      </c>
      <c r="C18" s="37">
        <v>0.009201967317150563</v>
      </c>
      <c r="D18" s="36">
        <v>210</v>
      </c>
      <c r="E18" s="37">
        <v>0.03538928210313448</v>
      </c>
      <c r="F18" s="36">
        <v>2038</v>
      </c>
      <c r="G18" s="37">
        <v>0.06001708042524369</v>
      </c>
      <c r="H18" s="56">
        <v>0.03486944328184291</v>
      </c>
      <c r="I18" s="47"/>
      <c r="J18" s="53">
        <v>0.0349</v>
      </c>
      <c r="K18" s="114">
        <f>ROUND($K$4*J18,2)</f>
        <v>24982.01</v>
      </c>
      <c r="L18" s="115"/>
      <c r="N18" s="6">
        <v>0.031840191006548495</v>
      </c>
      <c r="O18" s="51">
        <v>24686</v>
      </c>
      <c r="P18" s="40"/>
      <c r="Q18" s="57">
        <f>R18/O18</f>
        <v>0.011991007048529467</v>
      </c>
      <c r="R18" s="58">
        <f>K18-O18</f>
        <v>296.0099999999984</v>
      </c>
    </row>
    <row r="19" spans="1:18" ht="12.75">
      <c r="A19" s="59"/>
      <c r="B19" s="36"/>
      <c r="C19" s="37"/>
      <c r="D19" s="36"/>
      <c r="E19" s="37"/>
      <c r="F19" s="36"/>
      <c r="G19" s="37"/>
      <c r="H19" s="56"/>
      <c r="I19" s="38"/>
      <c r="J19" s="53"/>
      <c r="K19" s="22"/>
      <c r="L19" s="23"/>
      <c r="N19" s="6"/>
      <c r="O19" s="51"/>
      <c r="P19" s="40"/>
      <c r="Q19" s="54"/>
      <c r="R19" s="58"/>
    </row>
    <row r="20" spans="1:18" ht="12.75">
      <c r="A20" s="52" t="s">
        <v>465</v>
      </c>
      <c r="B20" s="36">
        <v>3503</v>
      </c>
      <c r="C20" s="37">
        <v>0.27788354751705535</v>
      </c>
      <c r="D20" s="36">
        <v>838</v>
      </c>
      <c r="E20" s="37">
        <v>0.1412200876306033</v>
      </c>
      <c r="F20" s="36">
        <v>6005</v>
      </c>
      <c r="G20" s="37">
        <v>0.1768412992902789</v>
      </c>
      <c r="H20" s="56">
        <v>0.19864831147931253</v>
      </c>
      <c r="I20" s="47"/>
      <c r="J20" s="53">
        <v>0.1987</v>
      </c>
      <c r="K20" s="114">
        <f>ROUND($K$4*J20,2)</f>
        <v>142232.84</v>
      </c>
      <c r="L20" s="115"/>
      <c r="N20" s="6">
        <v>0.20725094575254713</v>
      </c>
      <c r="O20" s="51">
        <v>160923</v>
      </c>
      <c r="P20" s="55"/>
      <c r="Q20" s="57">
        <f>R20/O20</f>
        <v>-0.1161434972005245</v>
      </c>
      <c r="R20" s="58">
        <f>K20-O20</f>
        <v>-18690.160000000003</v>
      </c>
    </row>
    <row r="21" spans="1:18" ht="12.75">
      <c r="A21" s="35"/>
      <c r="B21" s="36"/>
      <c r="C21" s="37"/>
      <c r="D21" s="36"/>
      <c r="E21" s="37"/>
      <c r="F21" s="36"/>
      <c r="G21" s="37"/>
      <c r="H21" s="56"/>
      <c r="I21" s="38"/>
      <c r="J21" s="53"/>
      <c r="K21" s="22"/>
      <c r="L21" s="23"/>
      <c r="N21" s="6"/>
      <c r="O21" s="51"/>
      <c r="P21" s="40"/>
      <c r="Q21" s="54"/>
      <c r="R21" s="58"/>
    </row>
    <row r="22" spans="1:19" ht="12.75">
      <c r="A22" s="52" t="s">
        <v>504</v>
      </c>
      <c r="B22" s="36">
        <v>299</v>
      </c>
      <c r="C22" s="37">
        <v>0.023718864033000157</v>
      </c>
      <c r="D22" s="36">
        <v>632</v>
      </c>
      <c r="E22" s="37">
        <v>0.10650488709133805</v>
      </c>
      <c r="F22" s="36">
        <v>3046</v>
      </c>
      <c r="G22" s="37">
        <v>0.08970168153841623</v>
      </c>
      <c r="H22" s="56">
        <v>0.07330847755425147</v>
      </c>
      <c r="I22" s="47"/>
      <c r="J22" s="53">
        <v>0.0733</v>
      </c>
      <c r="K22" s="114">
        <f>ROUND($K$4*J22,2)</f>
        <v>52469.39</v>
      </c>
      <c r="L22" s="115"/>
      <c r="N22" s="6">
        <v>0.06471160342532115</v>
      </c>
      <c r="O22" s="51">
        <v>50225</v>
      </c>
      <c r="P22" s="55"/>
      <c r="Q22" s="57">
        <f>R22/O22</f>
        <v>0.04468670980587356</v>
      </c>
      <c r="R22" s="58">
        <f>K22-O22</f>
        <v>2244.3899999999994</v>
      </c>
      <c r="S22" s="113"/>
    </row>
    <row r="23" spans="1:18" ht="13.5" thickBot="1">
      <c r="A23" s="65"/>
      <c r="B23" s="66"/>
      <c r="C23" s="67"/>
      <c r="D23" s="66"/>
      <c r="E23" s="67"/>
      <c r="F23" s="66"/>
      <c r="G23" s="67"/>
      <c r="H23" s="68"/>
      <c r="I23" s="68"/>
      <c r="J23" s="69"/>
      <c r="K23" s="70"/>
      <c r="L23" s="27"/>
      <c r="N23" s="71"/>
      <c r="O23" s="72"/>
      <c r="P23" s="73"/>
      <c r="Q23" s="71"/>
      <c r="R23" s="74"/>
    </row>
    <row r="24" spans="2:15" ht="13.5" thickBot="1">
      <c r="B24" s="75"/>
      <c r="C24" s="76"/>
      <c r="D24" s="75"/>
      <c r="E24" s="76"/>
      <c r="F24" s="3"/>
      <c r="G24" s="76"/>
      <c r="H24" s="77"/>
      <c r="I24" s="77"/>
      <c r="J24" s="78"/>
      <c r="K24" s="79"/>
      <c r="N24" s="7"/>
      <c r="O24" s="80"/>
    </row>
    <row r="25" spans="1:18" ht="13.5" thickBot="1">
      <c r="A25" s="116" t="s">
        <v>606</v>
      </c>
      <c r="B25" s="117"/>
      <c r="C25" s="117"/>
      <c r="D25" s="117"/>
      <c r="E25" s="117"/>
      <c r="F25" s="81"/>
      <c r="G25" s="82"/>
      <c r="H25" s="83"/>
      <c r="I25" s="83"/>
      <c r="J25" s="84"/>
      <c r="K25" s="111">
        <v>0</v>
      </c>
      <c r="N25" s="85"/>
      <c r="O25" s="86">
        <v>-9800</v>
      </c>
      <c r="P25" s="87"/>
      <c r="Q25" s="85"/>
      <c r="R25" s="86">
        <v>9800</v>
      </c>
    </row>
    <row r="26" spans="1:18" ht="13.5" thickBot="1">
      <c r="A26" s="88"/>
      <c r="B26" s="36"/>
      <c r="C26" s="37"/>
      <c r="D26" s="36"/>
      <c r="E26" s="37"/>
      <c r="F26" s="36"/>
      <c r="G26" s="37"/>
      <c r="H26" s="38"/>
      <c r="I26" s="38"/>
      <c r="J26" s="89"/>
      <c r="K26" s="90"/>
      <c r="N26" s="40"/>
      <c r="O26" s="90"/>
      <c r="P26" s="40"/>
      <c r="Q26" s="40"/>
      <c r="R26" s="91"/>
    </row>
    <row r="27" spans="1:11" ht="12.75">
      <c r="A27" s="92" t="s">
        <v>616</v>
      </c>
      <c r="B27" s="36" t="s">
        <v>2</v>
      </c>
      <c r="C27" s="37" t="s">
        <v>3</v>
      </c>
      <c r="D27" s="36" t="s">
        <v>4</v>
      </c>
      <c r="E27" s="37" t="s">
        <v>3</v>
      </c>
      <c r="F27" s="36" t="s">
        <v>4</v>
      </c>
      <c r="G27" s="37" t="s">
        <v>3</v>
      </c>
      <c r="H27" s="47" t="s">
        <v>5</v>
      </c>
      <c r="I27" s="77"/>
      <c r="J27" s="93"/>
      <c r="K27" s="79"/>
    </row>
    <row r="28" spans="1:11" ht="13.5" thickBot="1">
      <c r="A28" s="94" t="s">
        <v>6</v>
      </c>
      <c r="B28" s="95" t="s">
        <v>8</v>
      </c>
      <c r="C28" s="37" t="s">
        <v>9</v>
      </c>
      <c r="D28" s="95" t="s">
        <v>10</v>
      </c>
      <c r="E28" s="37" t="s">
        <v>9</v>
      </c>
      <c r="F28" s="95" t="s">
        <v>11</v>
      </c>
      <c r="G28" s="37" t="s">
        <v>9</v>
      </c>
      <c r="H28" s="47" t="s">
        <v>12</v>
      </c>
      <c r="I28" s="77"/>
      <c r="J28" s="93"/>
      <c r="K28" s="79"/>
    </row>
    <row r="29" spans="1:11" ht="12.75">
      <c r="A29" s="96"/>
      <c r="B29" s="97"/>
      <c r="C29" s="98"/>
      <c r="D29" s="97"/>
      <c r="E29" s="98"/>
      <c r="F29" s="97"/>
      <c r="G29" s="98"/>
      <c r="H29" s="99"/>
      <c r="I29" s="77"/>
      <c r="J29" s="93"/>
      <c r="K29" s="79"/>
    </row>
    <row r="30" spans="1:18" ht="12.75">
      <c r="A30" s="100" t="s">
        <v>13</v>
      </c>
      <c r="B30" s="36">
        <v>1473</v>
      </c>
      <c r="C30" s="37">
        <v>0.09326916988539226</v>
      </c>
      <c r="D30" s="36">
        <v>793</v>
      </c>
      <c r="E30" s="37">
        <v>0.12450934212592243</v>
      </c>
      <c r="F30" s="36">
        <v>3849</v>
      </c>
      <c r="G30" s="37">
        <v>0.11564114890037255</v>
      </c>
      <c r="H30" s="101">
        <v>0.11113988697056243</v>
      </c>
      <c r="I30" s="55"/>
      <c r="J30" s="36"/>
      <c r="K30" s="37"/>
      <c r="L30" s="36"/>
      <c r="M30" s="37"/>
      <c r="N30" s="36"/>
      <c r="O30" s="37"/>
      <c r="P30" s="47"/>
      <c r="Q30" s="55"/>
      <c r="R30" s="36"/>
    </row>
    <row r="31" spans="1:18" ht="12.75">
      <c r="A31" s="100"/>
      <c r="B31" s="36"/>
      <c r="C31" s="37"/>
      <c r="D31" s="36"/>
      <c r="E31" s="37"/>
      <c r="F31" s="36"/>
      <c r="G31" s="37"/>
      <c r="H31" s="44"/>
      <c r="I31" s="55"/>
      <c r="J31" s="36"/>
      <c r="K31" s="37"/>
      <c r="L31" s="36"/>
      <c r="M31" s="37"/>
      <c r="N31" s="36"/>
      <c r="O31" s="37"/>
      <c r="P31" s="47"/>
      <c r="Q31" s="55"/>
      <c r="R31" s="36"/>
    </row>
    <row r="32" spans="1:18" ht="12.75">
      <c r="A32" s="100" t="s">
        <v>605</v>
      </c>
      <c r="B32" s="36">
        <v>78</v>
      </c>
      <c r="C32" s="37">
        <v>0.004938896979674539</v>
      </c>
      <c r="D32" s="36">
        <v>305</v>
      </c>
      <c r="E32" s="37">
        <v>0.047888208509970165</v>
      </c>
      <c r="F32" s="36">
        <v>1169</v>
      </c>
      <c r="G32" s="37">
        <v>0.035121980531186155</v>
      </c>
      <c r="H32" s="101">
        <v>0.02931636200694362</v>
      </c>
      <c r="I32" s="55"/>
      <c r="J32" s="36"/>
      <c r="K32" s="37"/>
      <c r="L32" s="36"/>
      <c r="M32" s="37"/>
      <c r="N32" s="36"/>
      <c r="O32" s="37"/>
      <c r="P32" s="47"/>
      <c r="Q32" s="55"/>
      <c r="R32" s="36"/>
    </row>
    <row r="33" spans="1:18" ht="12.75">
      <c r="A33" s="102"/>
      <c r="B33" s="36"/>
      <c r="C33" s="37"/>
      <c r="D33" s="36"/>
      <c r="E33" s="37"/>
      <c r="F33" s="36"/>
      <c r="G33" s="37"/>
      <c r="H33" s="44"/>
      <c r="I33" s="103"/>
      <c r="J33" s="36"/>
      <c r="K33" s="37"/>
      <c r="L33" s="36"/>
      <c r="M33" s="37"/>
      <c r="N33" s="36"/>
      <c r="O33" s="37"/>
      <c r="P33" s="47"/>
      <c r="Q33" s="103"/>
      <c r="R33" s="36"/>
    </row>
    <row r="34" spans="1:18" ht="12.75">
      <c r="A34" s="100" t="s">
        <v>111</v>
      </c>
      <c r="B34" s="36">
        <v>1772</v>
      </c>
      <c r="C34" s="37">
        <v>0.112201608307478</v>
      </c>
      <c r="D34" s="36">
        <v>1000</v>
      </c>
      <c r="E34" s="37">
        <v>0.15701051970482022</v>
      </c>
      <c r="F34" s="36">
        <v>3625</v>
      </c>
      <c r="G34" s="37">
        <v>0.10891118855906742</v>
      </c>
      <c r="H34" s="101">
        <v>0.12604110552378855</v>
      </c>
      <c r="I34" s="55"/>
      <c r="J34" s="36"/>
      <c r="K34" s="37"/>
      <c r="L34" s="36"/>
      <c r="M34" s="37"/>
      <c r="N34" s="36"/>
      <c r="O34" s="37"/>
      <c r="P34" s="47"/>
      <c r="Q34" s="55"/>
      <c r="R34" s="36"/>
    </row>
    <row r="35" spans="1:18" ht="12.75">
      <c r="A35" s="104"/>
      <c r="B35" s="60"/>
      <c r="C35" s="61"/>
      <c r="D35" s="60"/>
      <c r="E35" s="61"/>
      <c r="F35" s="60"/>
      <c r="G35" s="61"/>
      <c r="H35" s="105"/>
      <c r="I35" s="64"/>
      <c r="J35" s="60"/>
      <c r="K35" s="61"/>
      <c r="L35" s="60"/>
      <c r="M35" s="61"/>
      <c r="N35" s="60"/>
      <c r="O35" s="61"/>
      <c r="P35" s="63"/>
      <c r="Q35" s="64"/>
      <c r="R35" s="60"/>
    </row>
    <row r="36" spans="1:18" ht="12.75">
      <c r="A36" s="100" t="s">
        <v>180</v>
      </c>
      <c r="B36" s="36">
        <v>1752</v>
      </c>
      <c r="C36" s="37">
        <v>0.11093522446653581</v>
      </c>
      <c r="D36" s="36">
        <v>1031</v>
      </c>
      <c r="E36" s="37">
        <v>0.16187784581566966</v>
      </c>
      <c r="F36" s="36">
        <v>6393</v>
      </c>
      <c r="G36" s="37">
        <v>0.19207426991948084</v>
      </c>
      <c r="H36" s="101">
        <v>0.15496244673389545</v>
      </c>
      <c r="I36" s="55"/>
      <c r="J36" s="36"/>
      <c r="K36" s="37"/>
      <c r="L36" s="36"/>
      <c r="M36" s="37"/>
      <c r="N36" s="36"/>
      <c r="O36" s="37"/>
      <c r="P36" s="47"/>
      <c r="Q36" s="55"/>
      <c r="R36" s="36"/>
    </row>
    <row r="37" spans="1:18" ht="12.75">
      <c r="A37" s="104"/>
      <c r="B37" s="60"/>
      <c r="C37" s="61"/>
      <c r="D37" s="60"/>
      <c r="E37" s="61"/>
      <c r="F37" s="60"/>
      <c r="G37" s="61"/>
      <c r="H37" s="105"/>
      <c r="I37" s="64"/>
      <c r="J37" s="60"/>
      <c r="K37" s="61"/>
      <c r="L37" s="60"/>
      <c r="M37" s="61"/>
      <c r="N37" s="60"/>
      <c r="O37" s="61"/>
      <c r="P37" s="63"/>
      <c r="Q37" s="64"/>
      <c r="R37" s="60"/>
    </row>
    <row r="38" spans="1:18" ht="12.75">
      <c r="A38" s="100" t="s">
        <v>269</v>
      </c>
      <c r="B38" s="36">
        <v>5588</v>
      </c>
      <c r="C38" s="37">
        <v>0.35382764515924775</v>
      </c>
      <c r="D38" s="36">
        <v>1472</v>
      </c>
      <c r="E38" s="37">
        <v>0.23111948500549537</v>
      </c>
      <c r="F38" s="36">
        <v>7424</v>
      </c>
      <c r="G38" s="37">
        <v>0.22305011416897008</v>
      </c>
      <c r="H38" s="101">
        <v>0.26933241477790437</v>
      </c>
      <c r="I38" s="55"/>
      <c r="J38" s="36"/>
      <c r="K38" s="37"/>
      <c r="L38" s="36"/>
      <c r="M38" s="37"/>
      <c r="N38" s="36"/>
      <c r="O38" s="37"/>
      <c r="P38" s="47"/>
      <c r="Q38" s="55"/>
      <c r="R38" s="36"/>
    </row>
    <row r="39" spans="1:18" ht="12.75">
      <c r="A39" s="106"/>
      <c r="B39" s="36"/>
      <c r="C39" s="37"/>
      <c r="D39" s="36"/>
      <c r="E39" s="37"/>
      <c r="F39" s="36"/>
      <c r="G39" s="37"/>
      <c r="H39" s="107"/>
      <c r="I39" s="40"/>
      <c r="J39" s="36"/>
      <c r="K39" s="37"/>
      <c r="L39" s="36"/>
      <c r="M39" s="37"/>
      <c r="N39" s="36"/>
      <c r="O39" s="37"/>
      <c r="P39" s="38"/>
      <c r="Q39" s="40"/>
      <c r="R39" s="36"/>
    </row>
    <row r="40" spans="1:18" ht="12.75">
      <c r="A40" s="100" t="s">
        <v>438</v>
      </c>
      <c r="B40" s="36">
        <v>2</v>
      </c>
      <c r="C40" s="37">
        <v>0.00012663838409421896</v>
      </c>
      <c r="D40" s="36">
        <v>42</v>
      </c>
      <c r="E40" s="37">
        <v>0.00659444182760245</v>
      </c>
      <c r="F40" s="36">
        <v>316</v>
      </c>
      <c r="G40" s="37">
        <v>0.009494051195769739</v>
      </c>
      <c r="H40" s="101">
        <v>0.005405043802488803</v>
      </c>
      <c r="I40" s="55"/>
      <c r="J40" s="36"/>
      <c r="K40" s="37"/>
      <c r="L40" s="36"/>
      <c r="M40" s="37"/>
      <c r="N40" s="36"/>
      <c r="O40" s="37"/>
      <c r="P40" s="47"/>
      <c r="Q40" s="55"/>
      <c r="R40" s="36"/>
    </row>
    <row r="41" spans="1:18" ht="12.75">
      <c r="A41" s="106"/>
      <c r="B41" s="36"/>
      <c r="C41" s="37"/>
      <c r="D41" s="36"/>
      <c r="E41" s="37"/>
      <c r="F41" s="36"/>
      <c r="G41" s="37"/>
      <c r="H41" s="107"/>
      <c r="I41" s="40"/>
      <c r="J41" s="36"/>
      <c r="K41" s="37"/>
      <c r="L41" s="36"/>
      <c r="M41" s="37"/>
      <c r="N41" s="36"/>
      <c r="O41" s="37"/>
      <c r="P41" s="38"/>
      <c r="Q41" s="40"/>
      <c r="R41" s="36"/>
    </row>
    <row r="42" spans="1:18" ht="12.75">
      <c r="A42" s="100" t="s">
        <v>446</v>
      </c>
      <c r="B42" s="36">
        <v>140</v>
      </c>
      <c r="C42" s="37">
        <v>0.008864686886595327</v>
      </c>
      <c r="D42" s="36">
        <v>218</v>
      </c>
      <c r="E42" s="37">
        <v>0.03422829329565081</v>
      </c>
      <c r="F42" s="36">
        <v>1745</v>
      </c>
      <c r="G42" s="37">
        <v>0.05242759283739935</v>
      </c>
      <c r="H42" s="101">
        <v>0.031840191006548495</v>
      </c>
      <c r="I42" s="55"/>
      <c r="J42" s="36"/>
      <c r="K42" s="37"/>
      <c r="L42" s="36"/>
      <c r="M42" s="37"/>
      <c r="N42" s="36"/>
      <c r="O42" s="37"/>
      <c r="P42" s="47"/>
      <c r="Q42" s="55"/>
      <c r="R42" s="36"/>
    </row>
    <row r="43" spans="1:18" ht="12.75">
      <c r="A43" s="102"/>
      <c r="B43" s="36"/>
      <c r="C43" s="37"/>
      <c r="D43" s="36"/>
      <c r="E43" s="37"/>
      <c r="F43" s="36"/>
      <c r="G43" s="37"/>
      <c r="H43" s="107"/>
      <c r="I43" s="103"/>
      <c r="J43" s="36"/>
      <c r="K43" s="37"/>
      <c r="L43" s="36"/>
      <c r="M43" s="37"/>
      <c r="N43" s="36"/>
      <c r="O43" s="37"/>
      <c r="P43" s="38"/>
      <c r="Q43" s="103"/>
      <c r="R43" s="36"/>
    </row>
    <row r="44" spans="1:18" ht="12.75">
      <c r="A44" s="100" t="s">
        <v>465</v>
      </c>
      <c r="B44" s="36">
        <v>4404</v>
      </c>
      <c r="C44" s="37">
        <v>0.27885772177547014</v>
      </c>
      <c r="D44" s="36">
        <v>1115</v>
      </c>
      <c r="E44" s="37">
        <v>0.17506672947087454</v>
      </c>
      <c r="F44" s="36">
        <v>5586</v>
      </c>
      <c r="G44" s="37">
        <v>0.1678283860112967</v>
      </c>
      <c r="H44" s="101">
        <v>0.20725094575254713</v>
      </c>
      <c r="I44" s="55"/>
      <c r="J44" s="36"/>
      <c r="K44" s="37"/>
      <c r="L44" s="36"/>
      <c r="M44" s="37"/>
      <c r="N44" s="36"/>
      <c r="O44" s="37"/>
      <c r="P44" s="47"/>
      <c r="Q44" s="55"/>
      <c r="R44" s="36"/>
    </row>
    <row r="45" spans="1:18" ht="12.75">
      <c r="A45" s="106"/>
      <c r="B45" s="36"/>
      <c r="C45" s="37"/>
      <c r="D45" s="36"/>
      <c r="E45" s="37"/>
      <c r="F45" s="36"/>
      <c r="G45" s="37"/>
      <c r="H45" s="101"/>
      <c r="I45" s="40"/>
      <c r="J45" s="36"/>
      <c r="K45" s="37"/>
      <c r="L45" s="36"/>
      <c r="M45" s="37"/>
      <c r="N45" s="36"/>
      <c r="O45" s="37"/>
      <c r="P45" s="38"/>
      <c r="Q45" s="40"/>
      <c r="R45" s="36"/>
    </row>
    <row r="46" spans="1:18" ht="13.5" thickBot="1">
      <c r="A46" s="108" t="s">
        <v>504</v>
      </c>
      <c r="B46" s="36">
        <v>584</v>
      </c>
      <c r="C46" s="37">
        <v>0.036978408155511934</v>
      </c>
      <c r="D46" s="36">
        <v>393</v>
      </c>
      <c r="E46" s="37">
        <v>0.06170513424399435</v>
      </c>
      <c r="F46" s="36">
        <v>3177</v>
      </c>
      <c r="G46" s="37">
        <v>0.09545126787645716</v>
      </c>
      <c r="H46" s="101">
        <v>0.06471160342532115</v>
      </c>
      <c r="I46" s="55"/>
      <c r="J46" s="36"/>
      <c r="K46" s="37"/>
      <c r="L46" s="36"/>
      <c r="M46" s="37"/>
      <c r="N46" s="36"/>
      <c r="O46" s="37"/>
      <c r="P46" s="47"/>
      <c r="Q46" s="55"/>
      <c r="R46" s="36"/>
    </row>
    <row r="47" spans="1:18" ht="13.5" thickBot="1">
      <c r="A47" s="109"/>
      <c r="B47" s="66"/>
      <c r="C47" s="67"/>
      <c r="D47" s="66"/>
      <c r="E47" s="67"/>
      <c r="F47" s="66"/>
      <c r="G47" s="67"/>
      <c r="H47" s="110"/>
      <c r="I47" s="55"/>
      <c r="J47" s="36"/>
      <c r="K47" s="37"/>
      <c r="L47" s="36"/>
      <c r="M47" s="37"/>
      <c r="N47" s="36"/>
      <c r="O47" s="37"/>
      <c r="P47" s="47"/>
      <c r="Q47" s="55"/>
      <c r="R47" s="36"/>
    </row>
  </sheetData>
  <mergeCells count="19">
    <mergeCell ref="A25:E25"/>
    <mergeCell ref="N1:R1"/>
    <mergeCell ref="Q2:Q3"/>
    <mergeCell ref="R2:R3"/>
    <mergeCell ref="N2:N3"/>
    <mergeCell ref="O2:O3"/>
    <mergeCell ref="K1:L1"/>
    <mergeCell ref="J2:J3"/>
    <mergeCell ref="K2:L3"/>
    <mergeCell ref="K4:L4"/>
    <mergeCell ref="K6:L6"/>
    <mergeCell ref="K8:L8"/>
    <mergeCell ref="K10:L10"/>
    <mergeCell ref="K12:L12"/>
    <mergeCell ref="K20:L20"/>
    <mergeCell ref="K22:L22"/>
    <mergeCell ref="K14:L14"/>
    <mergeCell ref="K16:L16"/>
    <mergeCell ref="K18:L18"/>
  </mergeCells>
  <printOptions/>
  <pageMargins left="0.25" right="0.25" top="0.25" bottom="0.25" header="0.5" footer="0.5"/>
  <pageSetup fitToHeight="1" fitToWidth="1" horizontalDpi="600" verticalDpi="600" orientation="landscape" scale="8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xSplit="1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Row="1"/>
  <cols>
    <col min="1" max="1" width="41.00390625" style="7" bestFit="1" customWidth="1"/>
    <col min="2" max="2" width="11.7109375" style="8" hidden="1" customWidth="1"/>
    <col min="3" max="3" width="0" style="3" hidden="1" customWidth="1"/>
    <col min="4" max="4" width="0" style="4" hidden="1" customWidth="1"/>
    <col min="5" max="5" width="14.7109375" style="3" hidden="1" customWidth="1"/>
    <col min="6" max="6" width="0" style="4" hidden="1" customWidth="1"/>
    <col min="7" max="7" width="0" style="3" hidden="1" customWidth="1"/>
    <col min="8" max="8" width="0" style="4" hidden="1" customWidth="1"/>
    <col min="9" max="9" width="12.71093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584</v>
      </c>
      <c r="B2" s="2"/>
    </row>
    <row r="3" spans="7:12" ht="12.75">
      <c r="G3" s="3" t="s">
        <v>585</v>
      </c>
      <c r="J3" s="133" t="s">
        <v>1</v>
      </c>
      <c r="K3" s="134"/>
      <c r="L3" s="135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6"/>
      <c r="K4" s="137"/>
      <c r="L4" s="138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39" t="s">
        <v>610</v>
      </c>
      <c r="K5" s="140"/>
      <c r="L5" s="141"/>
    </row>
    <row r="6" spans="1:12" ht="12.75">
      <c r="A6" s="1" t="s">
        <v>504</v>
      </c>
      <c r="B6" s="2"/>
      <c r="J6" s="21"/>
      <c r="K6" s="24"/>
      <c r="L6" s="23"/>
    </row>
    <row r="7" spans="1:12" ht="12.75" outlineLevel="1">
      <c r="A7" s="7" t="s">
        <v>505</v>
      </c>
      <c r="B7" s="8" t="s">
        <v>506</v>
      </c>
      <c r="C7" s="3">
        <f>17+1</f>
        <v>18</v>
      </c>
      <c r="D7" s="4">
        <f>C7/$C$30</f>
        <v>0.06020066889632107</v>
      </c>
      <c r="E7" s="3">
        <f>103</f>
        <v>103</v>
      </c>
      <c r="F7" s="4">
        <f>E7/$E$30</f>
        <v>0.1629746835443038</v>
      </c>
      <c r="G7" s="3">
        <f>28</f>
        <v>28</v>
      </c>
      <c r="H7" s="4">
        <f>G7/$G$30</f>
        <v>0.009192383453709783</v>
      </c>
      <c r="I7" s="10">
        <f aca="true" t="shared" si="0" ref="I7:I30">+(D7+F7+H7)/3</f>
        <v>0.07745591196477822</v>
      </c>
      <c r="J7" s="21"/>
      <c r="K7" s="24">
        <f>$K$30*I7</f>
        <v>4064.0644526856145</v>
      </c>
      <c r="L7" s="23"/>
    </row>
    <row r="8" spans="1:12" ht="12.75" outlineLevel="1">
      <c r="A8" s="7" t="s">
        <v>563</v>
      </c>
      <c r="B8" s="8" t="s">
        <v>564</v>
      </c>
      <c r="D8" s="4">
        <f aca="true" t="shared" si="1" ref="D8:D29">C8/$C$30</f>
        <v>0</v>
      </c>
      <c r="E8" s="3">
        <f>5</f>
        <v>5</v>
      </c>
      <c r="F8" s="4">
        <f>E8/$E$30</f>
        <v>0.007911392405063292</v>
      </c>
      <c r="G8" s="3">
        <f>5</f>
        <v>5</v>
      </c>
      <c r="H8" s="4">
        <f aca="true" t="shared" si="2" ref="H8:H29">G8/$G$30</f>
        <v>0.0016414970453053185</v>
      </c>
      <c r="I8" s="10">
        <f t="shared" si="0"/>
        <v>0.0031842964834562035</v>
      </c>
      <c r="J8" s="21"/>
      <c r="K8" s="24">
        <f aca="true" t="shared" si="3" ref="K8:K29">$K$30*I8</f>
        <v>167.0780940660921</v>
      </c>
      <c r="L8" s="23"/>
    </row>
    <row r="9" spans="1:12" ht="12.75" outlineLevel="1">
      <c r="A9" s="7" t="s">
        <v>507</v>
      </c>
      <c r="B9" s="8" t="s">
        <v>508</v>
      </c>
      <c r="C9" s="3">
        <f>2</f>
        <v>2</v>
      </c>
      <c r="D9" s="4">
        <f t="shared" si="1"/>
        <v>0.006688963210702341</v>
      </c>
      <c r="F9" s="4">
        <f aca="true" t="shared" si="4" ref="F9:F29">E9/$E$30</f>
        <v>0</v>
      </c>
      <c r="G9" s="3">
        <f>4</f>
        <v>4</v>
      </c>
      <c r="H9" s="4">
        <f t="shared" si="2"/>
        <v>0.0013131976362442547</v>
      </c>
      <c r="I9" s="10">
        <f t="shared" si="0"/>
        <v>0.0026673869489821987</v>
      </c>
      <c r="J9" s="21"/>
      <c r="K9" s="24">
        <f t="shared" si="3"/>
        <v>139.95616610705707</v>
      </c>
      <c r="L9" s="23"/>
    </row>
    <row r="10" spans="1:12" ht="12.75" outlineLevel="1">
      <c r="A10" s="7" t="s">
        <v>509</v>
      </c>
      <c r="B10" s="8" t="s">
        <v>510</v>
      </c>
      <c r="C10" s="3">
        <f>4+4</f>
        <v>8</v>
      </c>
      <c r="D10" s="4">
        <f t="shared" si="1"/>
        <v>0.026755852842809364</v>
      </c>
      <c r="F10" s="4">
        <f t="shared" si="4"/>
        <v>0</v>
      </c>
      <c r="H10" s="4">
        <f t="shared" si="2"/>
        <v>0</v>
      </c>
      <c r="I10" s="10">
        <f t="shared" si="0"/>
        <v>0.008918617614269788</v>
      </c>
      <c r="J10" s="21"/>
      <c r="K10" s="24">
        <f t="shared" si="3"/>
        <v>467.95442586399105</v>
      </c>
      <c r="L10" s="23"/>
    </row>
    <row r="11" spans="1:12" ht="12.75" outlineLevel="1">
      <c r="A11" s="7" t="s">
        <v>511</v>
      </c>
      <c r="B11" s="8" t="s">
        <v>512</v>
      </c>
      <c r="D11" s="4">
        <f t="shared" si="1"/>
        <v>0</v>
      </c>
      <c r="E11" s="3">
        <f>7</f>
        <v>7</v>
      </c>
      <c r="F11" s="4">
        <f t="shared" si="4"/>
        <v>0.011075949367088608</v>
      </c>
      <c r="G11" s="3">
        <f>81</f>
        <v>81</v>
      </c>
      <c r="H11" s="4">
        <f t="shared" si="2"/>
        <v>0.02659225213394616</v>
      </c>
      <c r="I11" s="10">
        <f t="shared" si="0"/>
        <v>0.01255606716701159</v>
      </c>
      <c r="J11" s="21"/>
      <c r="K11" s="24">
        <f t="shared" si="3"/>
        <v>658.8091850521262</v>
      </c>
      <c r="L11" s="23"/>
    </row>
    <row r="12" spans="1:12" ht="12.75" outlineLevel="1">
      <c r="A12" s="7" t="s">
        <v>513</v>
      </c>
      <c r="B12" s="8" t="s">
        <v>514</v>
      </c>
      <c r="C12" s="3">
        <f>5+5</f>
        <v>10</v>
      </c>
      <c r="D12" s="4">
        <f t="shared" si="1"/>
        <v>0.033444816053511704</v>
      </c>
      <c r="E12" s="3">
        <f>1+1+1+3+1+1+1+1+21</f>
        <v>31</v>
      </c>
      <c r="F12" s="4">
        <f t="shared" si="4"/>
        <v>0.0490506329113924</v>
      </c>
      <c r="G12" s="3">
        <f>613</f>
        <v>613</v>
      </c>
      <c r="H12" s="4">
        <f t="shared" si="2"/>
        <v>0.20124753775443205</v>
      </c>
      <c r="I12" s="10">
        <f t="shared" si="0"/>
        <v>0.09458099557311206</v>
      </c>
      <c r="J12" s="21"/>
      <c r="K12" s="24">
        <f t="shared" si="3"/>
        <v>4962.60714331389</v>
      </c>
      <c r="L12" s="23"/>
    </row>
    <row r="13" spans="1:12" ht="12.75" outlineLevel="1">
      <c r="A13" s="7" t="s">
        <v>515</v>
      </c>
      <c r="B13" s="8" t="s">
        <v>516</v>
      </c>
      <c r="D13" s="4">
        <f t="shared" si="1"/>
        <v>0</v>
      </c>
      <c r="F13" s="4">
        <f t="shared" si="4"/>
        <v>0</v>
      </c>
      <c r="G13" s="3">
        <f>63</f>
        <v>63</v>
      </c>
      <c r="H13" s="4">
        <f t="shared" si="2"/>
        <v>0.02068286277084701</v>
      </c>
      <c r="I13" s="10">
        <f t="shared" si="0"/>
        <v>0.006894287590282337</v>
      </c>
      <c r="J13" s="21"/>
      <c r="K13" s="24">
        <f t="shared" si="3"/>
        <v>361.73906434668413</v>
      </c>
      <c r="L13" s="23"/>
    </row>
    <row r="14" spans="1:12" ht="12.75" outlineLevel="1">
      <c r="A14" s="7" t="s">
        <v>517</v>
      </c>
      <c r="B14" s="8" t="s">
        <v>518</v>
      </c>
      <c r="D14" s="4">
        <f t="shared" si="1"/>
        <v>0</v>
      </c>
      <c r="F14" s="4">
        <f t="shared" si="4"/>
        <v>0</v>
      </c>
      <c r="G14" s="3">
        <f>4</f>
        <v>4</v>
      </c>
      <c r="H14" s="4">
        <f t="shared" si="2"/>
        <v>0.0013131976362442547</v>
      </c>
      <c r="I14" s="10">
        <f t="shared" si="0"/>
        <v>0.00043773254541475153</v>
      </c>
      <c r="J14" s="21"/>
      <c r="K14" s="24">
        <f t="shared" si="3"/>
        <v>22.96755964105931</v>
      </c>
      <c r="L14" s="23"/>
    </row>
    <row r="15" spans="1:12" ht="12.75" outlineLevel="1">
      <c r="A15" s="7" t="s">
        <v>519</v>
      </c>
      <c r="B15" s="8" t="s">
        <v>520</v>
      </c>
      <c r="D15" s="4">
        <f t="shared" si="1"/>
        <v>0</v>
      </c>
      <c r="E15" s="3">
        <f>19+7+11</f>
        <v>37</v>
      </c>
      <c r="F15" s="4">
        <f t="shared" si="4"/>
        <v>0.058544303797468354</v>
      </c>
      <c r="G15" s="3">
        <f>93</f>
        <v>93</v>
      </c>
      <c r="H15" s="4">
        <f t="shared" si="2"/>
        <v>0.030531845042678925</v>
      </c>
      <c r="I15" s="10">
        <f t="shared" si="0"/>
        <v>0.029692049613382426</v>
      </c>
      <c r="J15" s="21"/>
      <c r="K15" s="24">
        <f t="shared" si="3"/>
        <v>1557.9237310639116</v>
      </c>
      <c r="L15" s="23"/>
    </row>
    <row r="16" spans="1:12" ht="12.75" outlineLevel="1">
      <c r="A16" s="7" t="s">
        <v>521</v>
      </c>
      <c r="B16" s="8" t="s">
        <v>522</v>
      </c>
      <c r="D16" s="4">
        <f t="shared" si="1"/>
        <v>0</v>
      </c>
      <c r="F16" s="4">
        <f t="shared" si="4"/>
        <v>0</v>
      </c>
      <c r="G16" s="3">
        <f>11</f>
        <v>11</v>
      </c>
      <c r="H16" s="4">
        <f t="shared" si="2"/>
        <v>0.0036112934996717005</v>
      </c>
      <c r="I16" s="10">
        <f t="shared" si="0"/>
        <v>0.0012037644998905668</v>
      </c>
      <c r="J16" s="21"/>
      <c r="K16" s="24">
        <f t="shared" si="3"/>
        <v>63.160789012913106</v>
      </c>
      <c r="L16" s="23"/>
    </row>
    <row r="17" spans="1:12" ht="12.75" outlineLevel="1">
      <c r="A17" s="7" t="s">
        <v>523</v>
      </c>
      <c r="B17" s="8" t="s">
        <v>524</v>
      </c>
      <c r="C17" s="3">
        <f>16+16</f>
        <v>32</v>
      </c>
      <c r="D17" s="4">
        <f t="shared" si="1"/>
        <v>0.10702341137123746</v>
      </c>
      <c r="E17" s="3">
        <f>4+1+5+1+1</f>
        <v>12</v>
      </c>
      <c r="F17" s="4">
        <f t="shared" si="4"/>
        <v>0.0189873417721519</v>
      </c>
      <c r="G17" s="3">
        <f>66</f>
        <v>66</v>
      </c>
      <c r="H17" s="4">
        <f t="shared" si="2"/>
        <v>0.021667760998030205</v>
      </c>
      <c r="I17" s="10">
        <f t="shared" si="0"/>
        <v>0.04922617138047319</v>
      </c>
      <c r="J17" s="21"/>
      <c r="K17" s="24">
        <f t="shared" si="3"/>
        <v>2582.867184368886</v>
      </c>
      <c r="L17" s="23"/>
    </row>
    <row r="18" spans="1:12" ht="12.75" outlineLevel="1">
      <c r="A18" s="7" t="s">
        <v>525</v>
      </c>
      <c r="B18" s="8" t="s">
        <v>526</v>
      </c>
      <c r="D18" s="4">
        <f t="shared" si="1"/>
        <v>0</v>
      </c>
      <c r="F18" s="4">
        <f t="shared" si="4"/>
        <v>0</v>
      </c>
      <c r="G18" s="3">
        <f>14</f>
        <v>14</v>
      </c>
      <c r="H18" s="4">
        <f t="shared" si="2"/>
        <v>0.004596191726854892</v>
      </c>
      <c r="I18" s="10">
        <f t="shared" si="0"/>
        <v>0.0015320639089516305</v>
      </c>
      <c r="J18" s="21"/>
      <c r="K18" s="24">
        <f t="shared" si="3"/>
        <v>80.38645874370759</v>
      </c>
      <c r="L18" s="23"/>
    </row>
    <row r="19" spans="1:12" ht="12.75" outlineLevel="1">
      <c r="A19" s="7" t="s">
        <v>527</v>
      </c>
      <c r="B19" s="8" t="s">
        <v>528</v>
      </c>
      <c r="C19" s="3">
        <f>26+27</f>
        <v>53</v>
      </c>
      <c r="D19" s="4">
        <f t="shared" si="1"/>
        <v>0.17725752508361203</v>
      </c>
      <c r="E19" s="3">
        <f>14+4+7+5+4+11+9+1+3+14</f>
        <v>72</v>
      </c>
      <c r="F19" s="4">
        <f t="shared" si="4"/>
        <v>0.11392405063291139</v>
      </c>
      <c r="G19" s="3">
        <f>317</f>
        <v>317</v>
      </c>
      <c r="H19" s="4">
        <f t="shared" si="2"/>
        <v>0.10407091267235719</v>
      </c>
      <c r="I19" s="10">
        <f t="shared" si="0"/>
        <v>0.1317508294629602</v>
      </c>
      <c r="J19" s="21"/>
      <c r="K19" s="24">
        <f t="shared" si="3"/>
        <v>6912.8856539155495</v>
      </c>
      <c r="L19" s="23"/>
    </row>
    <row r="20" spans="1:12" ht="12.75" outlineLevel="1">
      <c r="A20" s="7" t="s">
        <v>529</v>
      </c>
      <c r="B20" s="8" t="s">
        <v>530</v>
      </c>
      <c r="C20" s="3">
        <f>1</f>
        <v>1</v>
      </c>
      <c r="D20" s="4">
        <f t="shared" si="1"/>
        <v>0.0033444816053511705</v>
      </c>
      <c r="E20" s="3">
        <f>18+6+18+6</f>
        <v>48</v>
      </c>
      <c r="F20" s="4">
        <f t="shared" si="4"/>
        <v>0.0759493670886076</v>
      </c>
      <c r="G20" s="3">
        <f>169</f>
        <v>169</v>
      </c>
      <c r="H20" s="4">
        <f t="shared" si="2"/>
        <v>0.05548260013131976</v>
      </c>
      <c r="I20" s="10">
        <f t="shared" si="0"/>
        <v>0.04492548294175951</v>
      </c>
      <c r="J20" s="21"/>
      <c r="K20" s="24">
        <f t="shared" si="3"/>
        <v>2357.2126854095272</v>
      </c>
      <c r="L20" s="23"/>
    </row>
    <row r="21" spans="1:12" ht="12.75" outlineLevel="1">
      <c r="A21" s="7" t="s">
        <v>531</v>
      </c>
      <c r="B21" s="8" t="s">
        <v>532</v>
      </c>
      <c r="D21" s="4">
        <f t="shared" si="1"/>
        <v>0</v>
      </c>
      <c r="F21" s="4">
        <f t="shared" si="4"/>
        <v>0</v>
      </c>
      <c r="G21" s="3">
        <f>4</f>
        <v>4</v>
      </c>
      <c r="H21" s="4">
        <f t="shared" si="2"/>
        <v>0.0013131976362442547</v>
      </c>
      <c r="I21" s="10">
        <f t="shared" si="0"/>
        <v>0.00043773254541475153</v>
      </c>
      <c r="J21" s="21"/>
      <c r="K21" s="24">
        <f t="shared" si="3"/>
        <v>22.96755964105931</v>
      </c>
      <c r="L21" s="23"/>
    </row>
    <row r="22" spans="1:12" ht="12.75" outlineLevel="1">
      <c r="A22" s="7" t="s">
        <v>533</v>
      </c>
      <c r="B22" s="8" t="s">
        <v>534</v>
      </c>
      <c r="C22" s="3">
        <f>2+2</f>
        <v>4</v>
      </c>
      <c r="D22" s="4">
        <f t="shared" si="1"/>
        <v>0.013377926421404682</v>
      </c>
      <c r="E22" s="3">
        <f>2+2+4+2+2+2+2+2+2+2+2+2+8+5+3+2+2+1+1+1+1+27+2+2+2+2</f>
        <v>85</v>
      </c>
      <c r="F22" s="4">
        <f t="shared" si="4"/>
        <v>0.13449367088607594</v>
      </c>
      <c r="G22" s="3">
        <f>309</f>
        <v>309</v>
      </c>
      <c r="H22" s="4">
        <f t="shared" si="2"/>
        <v>0.10144451739986868</v>
      </c>
      <c r="I22" s="10">
        <f t="shared" si="0"/>
        <v>0.08310537156911643</v>
      </c>
      <c r="J22" s="21"/>
      <c r="K22" s="24">
        <f t="shared" si="3"/>
        <v>4360.488151954882</v>
      </c>
      <c r="L22" s="23"/>
    </row>
    <row r="23" spans="1:12" ht="12.75" outlineLevel="1">
      <c r="A23" s="7" t="s">
        <v>535</v>
      </c>
      <c r="B23" s="8" t="s">
        <v>536</v>
      </c>
      <c r="C23" s="3">
        <f>7+7</f>
        <v>14</v>
      </c>
      <c r="D23" s="4">
        <f t="shared" si="1"/>
        <v>0.046822742474916385</v>
      </c>
      <c r="F23" s="4">
        <f t="shared" si="4"/>
        <v>0</v>
      </c>
      <c r="G23" s="3">
        <f>5</f>
        <v>5</v>
      </c>
      <c r="H23" s="4">
        <f t="shared" si="2"/>
        <v>0.0016414970453053185</v>
      </c>
      <c r="I23" s="10">
        <f t="shared" si="0"/>
        <v>0.016154746506740567</v>
      </c>
      <c r="J23" s="21"/>
      <c r="K23" s="24">
        <f t="shared" si="3"/>
        <v>847.6296948133084</v>
      </c>
      <c r="L23" s="23"/>
    </row>
    <row r="24" spans="1:12" ht="12.75" outlineLevel="1">
      <c r="A24" s="7" t="s">
        <v>537</v>
      </c>
      <c r="B24" s="8" t="s">
        <v>538</v>
      </c>
      <c r="D24" s="4">
        <f t="shared" si="1"/>
        <v>0</v>
      </c>
      <c r="F24" s="4">
        <f t="shared" si="4"/>
        <v>0</v>
      </c>
      <c r="G24" s="3">
        <f>8</f>
        <v>8</v>
      </c>
      <c r="H24" s="4">
        <f t="shared" si="2"/>
        <v>0.0026263952724885093</v>
      </c>
      <c r="I24" s="10">
        <f t="shared" si="0"/>
        <v>0.0008754650908295031</v>
      </c>
      <c r="J24" s="21"/>
      <c r="K24" s="24">
        <f t="shared" si="3"/>
        <v>45.93511928211862</v>
      </c>
      <c r="L24" s="23"/>
    </row>
    <row r="25" spans="1:12" ht="12.75" outlineLevel="1">
      <c r="A25" s="7" t="s">
        <v>539</v>
      </c>
      <c r="B25" s="8" t="s">
        <v>540</v>
      </c>
      <c r="D25" s="4">
        <f t="shared" si="1"/>
        <v>0</v>
      </c>
      <c r="E25" s="3">
        <f>6+2+1+5+1+1+1+1+3+4+2+5+1+1+11+24+1+1+2+1+1+1+1+2+1+5+6+7+10+6+5+4+7+1+5+5+5</f>
        <v>146</v>
      </c>
      <c r="F25" s="4">
        <f t="shared" si="4"/>
        <v>0.2310126582278481</v>
      </c>
      <c r="G25" s="3">
        <f>239</f>
        <v>239</v>
      </c>
      <c r="H25" s="4">
        <f t="shared" si="2"/>
        <v>0.07846355876559422</v>
      </c>
      <c r="I25" s="10">
        <f t="shared" si="0"/>
        <v>0.1031587389978141</v>
      </c>
      <c r="J25" s="21"/>
      <c r="K25" s="24">
        <f t="shared" si="3"/>
        <v>5412.676108384517</v>
      </c>
      <c r="L25" s="23"/>
    </row>
    <row r="26" spans="1:12" ht="12.75" outlineLevel="1">
      <c r="A26" s="7" t="s">
        <v>541</v>
      </c>
      <c r="B26" s="16" t="s">
        <v>542</v>
      </c>
      <c r="C26" s="3">
        <f>63+51</f>
        <v>114</v>
      </c>
      <c r="D26" s="4">
        <f t="shared" si="1"/>
        <v>0.38127090301003347</v>
      </c>
      <c r="E26" s="3">
        <f>19+11+11+1+4+5+2</f>
        <v>53</v>
      </c>
      <c r="F26" s="4">
        <f t="shared" si="4"/>
        <v>0.08386075949367089</v>
      </c>
      <c r="G26" s="3">
        <f>298+9+4</f>
        <v>311</v>
      </c>
      <c r="H26" s="4">
        <f t="shared" si="2"/>
        <v>0.10210111621799081</v>
      </c>
      <c r="I26" s="10">
        <f t="shared" si="0"/>
        <v>0.18907759290723172</v>
      </c>
      <c r="J26" s="21"/>
      <c r="K26" s="24">
        <f t="shared" si="3"/>
        <v>9920.785962510776</v>
      </c>
      <c r="L26" s="23"/>
    </row>
    <row r="27" spans="1:12" ht="12.75" outlineLevel="1">
      <c r="A27" s="7" t="s">
        <v>543</v>
      </c>
      <c r="B27" s="8" t="s">
        <v>544</v>
      </c>
      <c r="D27" s="4">
        <f t="shared" si="1"/>
        <v>0</v>
      </c>
      <c r="F27" s="4">
        <f t="shared" si="4"/>
        <v>0</v>
      </c>
      <c r="G27" s="3">
        <f>28</f>
        <v>28</v>
      </c>
      <c r="H27" s="4">
        <f t="shared" si="2"/>
        <v>0.009192383453709783</v>
      </c>
      <c r="I27" s="10">
        <f t="shared" si="0"/>
        <v>0.003064127817903261</v>
      </c>
      <c r="J27" s="21"/>
      <c r="K27" s="24">
        <f t="shared" si="3"/>
        <v>160.77291748741519</v>
      </c>
      <c r="L27" s="23"/>
    </row>
    <row r="28" spans="1:12" ht="12.75" outlineLevel="1">
      <c r="A28" s="7" t="s">
        <v>545</v>
      </c>
      <c r="B28" s="8" t="s">
        <v>546</v>
      </c>
      <c r="C28" s="3">
        <f>1+2</f>
        <v>3</v>
      </c>
      <c r="D28" s="4">
        <f t="shared" si="1"/>
        <v>0.010033444816053512</v>
      </c>
      <c r="F28" s="4">
        <f t="shared" si="4"/>
        <v>0</v>
      </c>
      <c r="H28" s="4">
        <f t="shared" si="2"/>
        <v>0</v>
      </c>
      <c r="I28" s="10">
        <f t="shared" si="0"/>
        <v>0.0033444816053511705</v>
      </c>
      <c r="J28" s="21"/>
      <c r="K28" s="24">
        <f t="shared" si="3"/>
        <v>175.48290969899665</v>
      </c>
      <c r="L28" s="23"/>
    </row>
    <row r="29" spans="1:12" ht="12.75" outlineLevel="1">
      <c r="A29" s="7" t="s">
        <v>547</v>
      </c>
      <c r="B29" s="8" t="s">
        <v>548</v>
      </c>
      <c r="C29" s="3">
        <f>10+30</f>
        <v>40</v>
      </c>
      <c r="D29" s="4">
        <f t="shared" si="1"/>
        <v>0.13377926421404682</v>
      </c>
      <c r="E29" s="3">
        <f>2+2+2+2+1+2+2+2+2+2+2+2+2+2+2+2+2</f>
        <v>33</v>
      </c>
      <c r="F29" s="4">
        <f t="shared" si="4"/>
        <v>0.05221518987341772</v>
      </c>
      <c r="G29" s="3">
        <f>674</f>
        <v>674</v>
      </c>
      <c r="H29" s="4">
        <f t="shared" si="2"/>
        <v>0.22127380170715694</v>
      </c>
      <c r="I29" s="10">
        <f t="shared" si="0"/>
        <v>0.13575608526487382</v>
      </c>
      <c r="J29" s="21"/>
      <c r="K29" s="24">
        <f t="shared" si="3"/>
        <v>7123.038982635918</v>
      </c>
      <c r="L29" s="23"/>
    </row>
    <row r="30" spans="1:12" ht="13.5" thickBot="1">
      <c r="A30" s="14" t="s">
        <v>549</v>
      </c>
      <c r="B30" s="17"/>
      <c r="C30" s="1">
        <f aca="true" t="shared" si="5" ref="C30:H30">SUM(C7:C29)</f>
        <v>299</v>
      </c>
      <c r="D30" s="15">
        <f t="shared" si="5"/>
        <v>1</v>
      </c>
      <c r="E30" s="1">
        <f t="shared" si="5"/>
        <v>632</v>
      </c>
      <c r="F30" s="15">
        <f t="shared" si="5"/>
        <v>1</v>
      </c>
      <c r="G30" s="1">
        <f t="shared" si="5"/>
        <v>3046</v>
      </c>
      <c r="H30" s="15">
        <f t="shared" si="5"/>
        <v>1</v>
      </c>
      <c r="I30" s="10">
        <f t="shared" si="0"/>
        <v>1</v>
      </c>
      <c r="J30" s="25"/>
      <c r="K30" s="26">
        <f>'FY11 to FY10 Comparison'!K22:L22</f>
        <v>52469.39</v>
      </c>
      <c r="L30" s="27"/>
    </row>
    <row r="32" ht="12.75">
      <c r="K32" s="80">
        <f>SUM(K7:K29)</f>
        <v>52469.39000000001</v>
      </c>
    </row>
  </sheetData>
  <mergeCells count="2">
    <mergeCell ref="J3:L4"/>
    <mergeCell ref="J5:L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pane xSplit="1" ySplit="5" topLeftCell="J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2" sqref="K42"/>
    </sheetView>
  </sheetViews>
  <sheetFormatPr defaultColWidth="9.140625" defaultRowHeight="12.75" outlineLevelRow="1"/>
  <cols>
    <col min="1" max="1" width="42.57421875" style="7" bestFit="1" customWidth="1"/>
    <col min="2" max="2" width="8.14062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584</v>
      </c>
      <c r="B2" s="2"/>
    </row>
    <row r="3" spans="7:12" ht="12.75">
      <c r="G3" s="3" t="s">
        <v>585</v>
      </c>
      <c r="J3" s="133" t="s">
        <v>1</v>
      </c>
      <c r="K3" s="134"/>
      <c r="L3" s="135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6"/>
      <c r="K4" s="137"/>
      <c r="L4" s="138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39" t="s">
        <v>610</v>
      </c>
      <c r="K5" s="140"/>
      <c r="L5" s="141"/>
    </row>
    <row r="6" spans="1:12" ht="12.75" outlineLevel="1">
      <c r="A6" s="1" t="s">
        <v>13</v>
      </c>
      <c r="B6" s="2"/>
      <c r="I6" s="10"/>
      <c r="J6" s="21"/>
      <c r="K6" s="24"/>
      <c r="L6" s="23"/>
    </row>
    <row r="7" spans="1:12" ht="12.75" outlineLevel="1">
      <c r="A7" s="7" t="s">
        <v>14</v>
      </c>
      <c r="B7" s="8" t="s">
        <v>15</v>
      </c>
      <c r="C7" s="3">
        <f>1+1</f>
        <v>2</v>
      </c>
      <c r="D7" s="4">
        <f aca="true" t="shared" si="0" ref="D7:D41">C7/$C$42</f>
        <v>0.0017857142857142857</v>
      </c>
      <c r="E7" s="3">
        <f>6+21</f>
        <v>27</v>
      </c>
      <c r="F7" s="4">
        <f aca="true" t="shared" si="1" ref="F7:F41">E7/$E$42</f>
        <v>0.05075187969924812</v>
      </c>
      <c r="G7" s="3">
        <f>85</f>
        <v>85</v>
      </c>
      <c r="H7" s="4">
        <f aca="true" t="shared" si="2" ref="H7:H41">G7/$G$42</f>
        <v>0.025267538644470868</v>
      </c>
      <c r="I7" s="10">
        <f aca="true" t="shared" si="3" ref="I7:I42">+(D7+F7+H7)/3</f>
        <v>0.02593504420981109</v>
      </c>
      <c r="J7" s="21"/>
      <c r="K7" s="24">
        <f>ROUND($K$42*I7,2)</f>
        <v>1717.24</v>
      </c>
      <c r="L7" s="23"/>
    </row>
    <row r="8" spans="1:12" ht="12.75" outlineLevel="1">
      <c r="A8" s="7" t="s">
        <v>16</v>
      </c>
      <c r="B8" s="8" t="s">
        <v>17</v>
      </c>
      <c r="C8" s="3">
        <f>1</f>
        <v>1</v>
      </c>
      <c r="D8" s="4">
        <f t="shared" si="0"/>
        <v>0.0008928571428571428</v>
      </c>
      <c r="E8" s="3">
        <f>2+1+1</f>
        <v>4</v>
      </c>
      <c r="F8" s="4">
        <f t="shared" si="1"/>
        <v>0.007518796992481203</v>
      </c>
      <c r="G8" s="3">
        <f>71+9</f>
        <v>80</v>
      </c>
      <c r="H8" s="4">
        <f t="shared" si="2"/>
        <v>0.023781212841854936</v>
      </c>
      <c r="I8" s="10">
        <f t="shared" si="3"/>
        <v>0.010730955659064428</v>
      </c>
      <c r="J8" s="21"/>
      <c r="K8" s="24">
        <f aca="true" t="shared" si="4" ref="K8:K41">ROUND($K$42*I8,2)</f>
        <v>710.53</v>
      </c>
      <c r="L8" s="23"/>
    </row>
    <row r="9" spans="1:12" ht="12.75" outlineLevel="1">
      <c r="A9" s="7" t="s">
        <v>18</v>
      </c>
      <c r="B9" s="8" t="s">
        <v>562</v>
      </c>
      <c r="C9" s="3">
        <f>2</f>
        <v>2</v>
      </c>
      <c r="D9" s="4">
        <f t="shared" si="0"/>
        <v>0.0017857142857142857</v>
      </c>
      <c r="E9" s="3">
        <f>10</f>
        <v>10</v>
      </c>
      <c r="F9" s="4">
        <f t="shared" si="1"/>
        <v>0.018796992481203006</v>
      </c>
      <c r="G9" s="3">
        <f>44+72</f>
        <v>116</v>
      </c>
      <c r="H9" s="4">
        <f t="shared" si="2"/>
        <v>0.034482758620689655</v>
      </c>
      <c r="I9" s="10">
        <f t="shared" si="3"/>
        <v>0.018355155129202317</v>
      </c>
      <c r="J9" s="21"/>
      <c r="K9" s="24">
        <f t="shared" si="4"/>
        <v>1215.35</v>
      </c>
      <c r="L9" s="23"/>
    </row>
    <row r="10" spans="1:12" ht="12.75" outlineLevel="1">
      <c r="A10" s="7" t="s">
        <v>19</v>
      </c>
      <c r="B10" s="8" t="s">
        <v>20</v>
      </c>
      <c r="D10" s="4">
        <f t="shared" si="0"/>
        <v>0</v>
      </c>
      <c r="F10" s="4">
        <f t="shared" si="1"/>
        <v>0</v>
      </c>
      <c r="G10" s="3">
        <f>17</f>
        <v>17</v>
      </c>
      <c r="H10" s="4">
        <f t="shared" si="2"/>
        <v>0.005053507728894174</v>
      </c>
      <c r="I10" s="10">
        <f t="shared" si="3"/>
        <v>0.001684502576298058</v>
      </c>
      <c r="J10" s="21"/>
      <c r="K10" s="24">
        <f t="shared" si="4"/>
        <v>111.54</v>
      </c>
      <c r="L10" s="23"/>
    </row>
    <row r="11" spans="1:12" ht="12.75" outlineLevel="1">
      <c r="A11" s="7" t="s">
        <v>21</v>
      </c>
      <c r="B11" s="8" t="s">
        <v>22</v>
      </c>
      <c r="C11" s="3">
        <f>9+11</f>
        <v>20</v>
      </c>
      <c r="D11" s="4">
        <f t="shared" si="0"/>
        <v>0.017857142857142856</v>
      </c>
      <c r="E11" s="3">
        <f>15+10+15+37</f>
        <v>77</v>
      </c>
      <c r="F11" s="4">
        <f t="shared" si="1"/>
        <v>0.14473684210526316</v>
      </c>
      <c r="G11" s="3">
        <f>175</f>
        <v>175</v>
      </c>
      <c r="H11" s="4">
        <f t="shared" si="2"/>
        <v>0.05202140309155767</v>
      </c>
      <c r="I11" s="10">
        <f t="shared" si="3"/>
        <v>0.07153846268465457</v>
      </c>
      <c r="J11" s="21"/>
      <c r="K11" s="24">
        <f t="shared" si="4"/>
        <v>4736.78</v>
      </c>
      <c r="L11" s="23"/>
    </row>
    <row r="12" spans="1:12" ht="12.75" outlineLevel="1">
      <c r="A12" s="7" t="s">
        <v>23</v>
      </c>
      <c r="B12" s="8" t="s">
        <v>24</v>
      </c>
      <c r="C12" s="3">
        <f>3</f>
        <v>3</v>
      </c>
      <c r="D12" s="4">
        <f t="shared" si="0"/>
        <v>0.0026785714285714286</v>
      </c>
      <c r="F12" s="4">
        <f t="shared" si="1"/>
        <v>0</v>
      </c>
      <c r="G12" s="3">
        <f>34</f>
        <v>34</v>
      </c>
      <c r="H12" s="4">
        <f t="shared" si="2"/>
        <v>0.010107015457788348</v>
      </c>
      <c r="I12" s="10">
        <f t="shared" si="3"/>
        <v>0.004261862295453258</v>
      </c>
      <c r="J12" s="21"/>
      <c r="K12" s="24">
        <f t="shared" si="4"/>
        <v>282.19</v>
      </c>
      <c r="L12" s="23"/>
    </row>
    <row r="13" spans="1:12" ht="12.75" outlineLevel="1">
      <c r="A13" s="7" t="s">
        <v>25</v>
      </c>
      <c r="B13" s="8" t="s">
        <v>26</v>
      </c>
      <c r="C13" s="3">
        <f>158</f>
        <v>158</v>
      </c>
      <c r="D13" s="4">
        <f t="shared" si="0"/>
        <v>0.14107142857142857</v>
      </c>
      <c r="F13" s="4">
        <f t="shared" si="1"/>
        <v>0</v>
      </c>
      <c r="H13" s="4">
        <f t="shared" si="2"/>
        <v>0</v>
      </c>
      <c r="I13" s="10">
        <f t="shared" si="3"/>
        <v>0.04702380952380952</v>
      </c>
      <c r="J13" s="21"/>
      <c r="K13" s="24">
        <f t="shared" si="4"/>
        <v>3113.59</v>
      </c>
      <c r="L13" s="23"/>
    </row>
    <row r="14" spans="1:12" ht="12.75" outlineLevel="1">
      <c r="A14" s="7" t="s">
        <v>27</v>
      </c>
      <c r="B14" s="8" t="s">
        <v>28</v>
      </c>
      <c r="C14" s="3">
        <f>23+19</f>
        <v>42</v>
      </c>
      <c r="D14" s="4">
        <f t="shared" si="0"/>
        <v>0.0375</v>
      </c>
      <c r="E14" s="3">
        <f>2+5+5</f>
        <v>12</v>
      </c>
      <c r="F14" s="4">
        <f t="shared" si="1"/>
        <v>0.022556390977443608</v>
      </c>
      <c r="G14" s="3">
        <f>18+52</f>
        <v>70</v>
      </c>
      <c r="H14" s="4">
        <f t="shared" si="2"/>
        <v>0.020808561236623068</v>
      </c>
      <c r="I14" s="10">
        <f t="shared" si="3"/>
        <v>0.026954984071355558</v>
      </c>
      <c r="J14" s="21"/>
      <c r="K14" s="24">
        <f t="shared" si="4"/>
        <v>1784.77</v>
      </c>
      <c r="L14" s="23"/>
    </row>
    <row r="15" spans="1:12" ht="12.75" outlineLevel="1">
      <c r="A15" s="7" t="s">
        <v>597</v>
      </c>
      <c r="B15" s="8" t="s">
        <v>598</v>
      </c>
      <c r="D15" s="4">
        <f t="shared" si="0"/>
        <v>0</v>
      </c>
      <c r="E15" s="3">
        <f>3</f>
        <v>3</v>
      </c>
      <c r="F15" s="4">
        <f t="shared" si="1"/>
        <v>0.005639097744360902</v>
      </c>
      <c r="H15" s="4">
        <f t="shared" si="2"/>
        <v>0</v>
      </c>
      <c r="I15" s="10">
        <f t="shared" si="3"/>
        <v>0.0018796992481203006</v>
      </c>
      <c r="J15" s="21"/>
      <c r="K15" s="24">
        <f t="shared" si="4"/>
        <v>124.46</v>
      </c>
      <c r="L15" s="23"/>
    </row>
    <row r="16" spans="1:12" ht="12.75" outlineLevel="1">
      <c r="A16" s="7" t="s">
        <v>29</v>
      </c>
      <c r="B16" s="8" t="s">
        <v>30</v>
      </c>
      <c r="D16" s="4">
        <f t="shared" si="0"/>
        <v>0</v>
      </c>
      <c r="E16" s="3">
        <f>1+4</f>
        <v>5</v>
      </c>
      <c r="F16" s="4">
        <f t="shared" si="1"/>
        <v>0.009398496240601503</v>
      </c>
      <c r="G16" s="3">
        <f>20</f>
        <v>20</v>
      </c>
      <c r="H16" s="4">
        <f t="shared" si="2"/>
        <v>0.005945303210463734</v>
      </c>
      <c r="I16" s="10">
        <f t="shared" si="3"/>
        <v>0.0051145998170217455</v>
      </c>
      <c r="J16" s="21"/>
      <c r="K16" s="24">
        <f t="shared" si="4"/>
        <v>338.65</v>
      </c>
      <c r="L16" s="23"/>
    </row>
    <row r="17" spans="1:12" ht="12.75" outlineLevel="1">
      <c r="A17" s="7" t="s">
        <v>31</v>
      </c>
      <c r="B17" s="8" t="s">
        <v>32</v>
      </c>
      <c r="D17" s="4">
        <f t="shared" si="0"/>
        <v>0</v>
      </c>
      <c r="E17" s="3">
        <f>9+1</f>
        <v>10</v>
      </c>
      <c r="F17" s="4">
        <f t="shared" si="1"/>
        <v>0.018796992481203006</v>
      </c>
      <c r="G17" s="3">
        <f>9</f>
        <v>9</v>
      </c>
      <c r="H17" s="4">
        <f t="shared" si="2"/>
        <v>0.00267538644470868</v>
      </c>
      <c r="I17" s="10">
        <f t="shared" si="3"/>
        <v>0.007157459641970562</v>
      </c>
      <c r="J17" s="21"/>
      <c r="K17" s="24">
        <f t="shared" si="4"/>
        <v>473.92</v>
      </c>
      <c r="L17" s="23"/>
    </row>
    <row r="18" spans="1:12" ht="12.75" outlineLevel="1">
      <c r="A18" s="7" t="s">
        <v>33</v>
      </c>
      <c r="B18" s="8" t="s">
        <v>34</v>
      </c>
      <c r="C18" s="3">
        <f>1</f>
        <v>1</v>
      </c>
      <c r="D18" s="4">
        <f t="shared" si="0"/>
        <v>0.0008928571428571428</v>
      </c>
      <c r="E18" s="3">
        <f>9+1</f>
        <v>10</v>
      </c>
      <c r="F18" s="4">
        <f t="shared" si="1"/>
        <v>0.018796992481203006</v>
      </c>
      <c r="G18" s="3">
        <f>42</f>
        <v>42</v>
      </c>
      <c r="H18" s="4">
        <f t="shared" si="2"/>
        <v>0.01248513674197384</v>
      </c>
      <c r="I18" s="10">
        <f t="shared" si="3"/>
        <v>0.010724995455344664</v>
      </c>
      <c r="J18" s="21"/>
      <c r="K18" s="24">
        <f t="shared" si="4"/>
        <v>710.13</v>
      </c>
      <c r="L18" s="23"/>
    </row>
    <row r="19" spans="1:12" ht="12.75" outlineLevel="1">
      <c r="A19" s="7" t="s">
        <v>35</v>
      </c>
      <c r="B19" s="8" t="s">
        <v>36</v>
      </c>
      <c r="D19" s="4">
        <f t="shared" si="0"/>
        <v>0</v>
      </c>
      <c r="E19" s="3">
        <f>40</f>
        <v>40</v>
      </c>
      <c r="F19" s="4">
        <f t="shared" si="1"/>
        <v>0.07518796992481203</v>
      </c>
      <c r="G19" s="3">
        <f>579</f>
        <v>579</v>
      </c>
      <c r="H19" s="4">
        <f t="shared" si="2"/>
        <v>0.1721165279429251</v>
      </c>
      <c r="I19" s="10">
        <f t="shared" si="3"/>
        <v>0.08243483262257904</v>
      </c>
      <c r="J19" s="21"/>
      <c r="K19" s="24">
        <f t="shared" si="4"/>
        <v>5458.26</v>
      </c>
      <c r="L19" s="23"/>
    </row>
    <row r="20" spans="1:12" ht="12.75" outlineLevel="1">
      <c r="A20" s="7" t="s">
        <v>37</v>
      </c>
      <c r="B20" s="8" t="s">
        <v>38</v>
      </c>
      <c r="D20" s="4">
        <f t="shared" si="0"/>
        <v>0</v>
      </c>
      <c r="E20" s="3">
        <f>4+1</f>
        <v>5</v>
      </c>
      <c r="F20" s="4">
        <f t="shared" si="1"/>
        <v>0.009398496240601503</v>
      </c>
      <c r="G20" s="3">
        <f>69</f>
        <v>69</v>
      </c>
      <c r="H20" s="4">
        <f t="shared" si="2"/>
        <v>0.02051129607609988</v>
      </c>
      <c r="I20" s="10">
        <f t="shared" si="3"/>
        <v>0.009969930772233794</v>
      </c>
      <c r="J20" s="21"/>
      <c r="K20" s="24">
        <f t="shared" si="4"/>
        <v>660.14</v>
      </c>
      <c r="L20" s="23"/>
    </row>
    <row r="21" spans="1:12" ht="12.75" outlineLevel="1">
      <c r="A21" s="7" t="s">
        <v>39</v>
      </c>
      <c r="B21" s="8" t="s">
        <v>40</v>
      </c>
      <c r="C21" s="3">
        <f>1</f>
        <v>1</v>
      </c>
      <c r="D21" s="4">
        <f t="shared" si="0"/>
        <v>0.0008928571428571428</v>
      </c>
      <c r="E21" s="3">
        <f>3+1+2+2+1</f>
        <v>9</v>
      </c>
      <c r="F21" s="4">
        <f t="shared" si="1"/>
        <v>0.016917293233082706</v>
      </c>
      <c r="G21" s="3">
        <f>20</f>
        <v>20</v>
      </c>
      <c r="H21" s="4">
        <f t="shared" si="2"/>
        <v>0.005945303210463734</v>
      </c>
      <c r="I21" s="10">
        <f t="shared" si="3"/>
        <v>0.007918484528801194</v>
      </c>
      <c r="J21" s="21"/>
      <c r="K21" s="24">
        <f t="shared" si="4"/>
        <v>524.31</v>
      </c>
      <c r="L21" s="23"/>
    </row>
    <row r="22" spans="1:12" ht="12.75" outlineLevel="1">
      <c r="A22" s="7" t="s">
        <v>41</v>
      </c>
      <c r="B22" s="8" t="s">
        <v>42</v>
      </c>
      <c r="D22" s="4">
        <f t="shared" si="0"/>
        <v>0</v>
      </c>
      <c r="E22" s="3">
        <f>15</f>
        <v>15</v>
      </c>
      <c r="F22" s="4">
        <f t="shared" si="1"/>
        <v>0.02819548872180451</v>
      </c>
      <c r="G22" s="3">
        <f>2</f>
        <v>2</v>
      </c>
      <c r="H22" s="4">
        <f t="shared" si="2"/>
        <v>0.0005945303210463733</v>
      </c>
      <c r="I22" s="10">
        <f t="shared" si="3"/>
        <v>0.009596673014283628</v>
      </c>
      <c r="J22" s="21"/>
      <c r="K22" s="24">
        <f t="shared" si="4"/>
        <v>635.43</v>
      </c>
      <c r="L22" s="23"/>
    </row>
    <row r="23" spans="1:12" ht="12.75" outlineLevel="1">
      <c r="A23" s="7" t="s">
        <v>43</v>
      </c>
      <c r="B23" s="8" t="s">
        <v>44</v>
      </c>
      <c r="D23" s="4">
        <f t="shared" si="0"/>
        <v>0</v>
      </c>
      <c r="E23" s="3">
        <f>1+2+1+1+1+1+1+1+11</f>
        <v>20</v>
      </c>
      <c r="F23" s="4">
        <f t="shared" si="1"/>
        <v>0.03759398496240601</v>
      </c>
      <c r="G23" s="3">
        <f>61</f>
        <v>61</v>
      </c>
      <c r="H23" s="4">
        <f t="shared" si="2"/>
        <v>0.018133174791914387</v>
      </c>
      <c r="I23" s="10">
        <f t="shared" si="3"/>
        <v>0.0185757199181068</v>
      </c>
      <c r="J23" s="21"/>
      <c r="K23" s="24">
        <f t="shared" si="4"/>
        <v>1229.96</v>
      </c>
      <c r="L23" s="23"/>
    </row>
    <row r="24" spans="1:12" ht="12.75" outlineLevel="1">
      <c r="A24" s="7" t="s">
        <v>45</v>
      </c>
      <c r="B24" s="8" t="s">
        <v>46</v>
      </c>
      <c r="C24" s="3">
        <f>2</f>
        <v>2</v>
      </c>
      <c r="D24" s="4">
        <f t="shared" si="0"/>
        <v>0.0017857142857142857</v>
      </c>
      <c r="E24" s="3">
        <f>1+3+1</f>
        <v>5</v>
      </c>
      <c r="F24" s="4">
        <f t="shared" si="1"/>
        <v>0.009398496240601503</v>
      </c>
      <c r="G24" s="3">
        <f>223</f>
        <v>223</v>
      </c>
      <c r="H24" s="4">
        <f t="shared" si="2"/>
        <v>0.06629013079667063</v>
      </c>
      <c r="I24" s="10">
        <f t="shared" si="3"/>
        <v>0.02582478044099547</v>
      </c>
      <c r="J24" s="21"/>
      <c r="K24" s="24">
        <f t="shared" si="4"/>
        <v>1709.94</v>
      </c>
      <c r="L24" s="23"/>
    </row>
    <row r="25" spans="1:12" ht="12.75" outlineLevel="1">
      <c r="A25" s="7" t="s">
        <v>47</v>
      </c>
      <c r="B25" s="8" t="s">
        <v>48</v>
      </c>
      <c r="D25" s="4">
        <f t="shared" si="0"/>
        <v>0</v>
      </c>
      <c r="E25" s="3">
        <f>2+1+1</f>
        <v>4</v>
      </c>
      <c r="F25" s="4">
        <f t="shared" si="1"/>
        <v>0.007518796992481203</v>
      </c>
      <c r="G25" s="3">
        <f>5</f>
        <v>5</v>
      </c>
      <c r="H25" s="4">
        <f t="shared" si="2"/>
        <v>0.0014863258026159335</v>
      </c>
      <c r="I25" s="10">
        <f t="shared" si="3"/>
        <v>0.003001707598365712</v>
      </c>
      <c r="J25" s="21"/>
      <c r="K25" s="24">
        <f t="shared" si="4"/>
        <v>198.75</v>
      </c>
      <c r="L25" s="23"/>
    </row>
    <row r="26" spans="1:12" ht="12.75" outlineLevel="1">
      <c r="A26" s="7" t="s">
        <v>49</v>
      </c>
      <c r="B26" s="8" t="s">
        <v>50</v>
      </c>
      <c r="D26" s="4">
        <f t="shared" si="0"/>
        <v>0</v>
      </c>
      <c r="F26" s="4">
        <f t="shared" si="1"/>
        <v>0</v>
      </c>
      <c r="G26" s="3">
        <f>5</f>
        <v>5</v>
      </c>
      <c r="H26" s="4">
        <f t="shared" si="2"/>
        <v>0.0014863258026159335</v>
      </c>
      <c r="I26" s="10">
        <f t="shared" si="3"/>
        <v>0.0004954419342053112</v>
      </c>
      <c r="J26" s="21"/>
      <c r="K26" s="24">
        <f t="shared" si="4"/>
        <v>32.8</v>
      </c>
      <c r="L26" s="23"/>
    </row>
    <row r="27" spans="1:12" ht="12.75" outlineLevel="1">
      <c r="A27" s="7" t="s">
        <v>568</v>
      </c>
      <c r="B27" s="8" t="s">
        <v>569</v>
      </c>
      <c r="D27" s="4">
        <f t="shared" si="0"/>
        <v>0</v>
      </c>
      <c r="E27" s="3">
        <f>8</f>
        <v>8</v>
      </c>
      <c r="F27" s="4">
        <f t="shared" si="1"/>
        <v>0.015037593984962405</v>
      </c>
      <c r="G27" s="3">
        <f>8</f>
        <v>8</v>
      </c>
      <c r="H27" s="4">
        <f t="shared" si="2"/>
        <v>0.0023781212841854932</v>
      </c>
      <c r="I27" s="10">
        <f t="shared" si="3"/>
        <v>0.005805238423049299</v>
      </c>
      <c r="J27" s="21"/>
      <c r="K27" s="24">
        <f t="shared" si="4"/>
        <v>384.38</v>
      </c>
      <c r="L27" s="23"/>
    </row>
    <row r="28" spans="1:12" ht="12.75" outlineLevel="1">
      <c r="A28" s="7" t="s">
        <v>559</v>
      </c>
      <c r="B28" s="8" t="s">
        <v>51</v>
      </c>
      <c r="C28" s="3">
        <f>18+61</f>
        <v>79</v>
      </c>
      <c r="D28" s="4">
        <f t="shared" si="0"/>
        <v>0.07053571428571428</v>
      </c>
      <c r="E28" s="3">
        <f>1+4+3</f>
        <v>8</v>
      </c>
      <c r="F28" s="4">
        <f t="shared" si="1"/>
        <v>0.015037593984962405</v>
      </c>
      <c r="G28" s="3">
        <f>115</f>
        <v>115</v>
      </c>
      <c r="H28" s="4">
        <f t="shared" si="2"/>
        <v>0.03418549346016647</v>
      </c>
      <c r="I28" s="10">
        <f t="shared" si="3"/>
        <v>0.03991960057694772</v>
      </c>
      <c r="J28" s="21"/>
      <c r="K28" s="24">
        <f t="shared" si="4"/>
        <v>2643.2</v>
      </c>
      <c r="L28" s="23"/>
    </row>
    <row r="29" spans="1:12" ht="12.75" outlineLevel="1">
      <c r="A29" s="7" t="s">
        <v>52</v>
      </c>
      <c r="B29" s="8" t="s">
        <v>53</v>
      </c>
      <c r="C29" s="3">
        <f>4+2</f>
        <v>6</v>
      </c>
      <c r="D29" s="4">
        <f t="shared" si="0"/>
        <v>0.005357142857142857</v>
      </c>
      <c r="E29" s="3">
        <f>5+1+2+1+5+1+2</f>
        <v>17</v>
      </c>
      <c r="F29" s="4">
        <f t="shared" si="1"/>
        <v>0.03195488721804511</v>
      </c>
      <c r="G29" s="3">
        <f>96</f>
        <v>96</v>
      </c>
      <c r="H29" s="4">
        <f t="shared" si="2"/>
        <v>0.028537455410225922</v>
      </c>
      <c r="I29" s="10">
        <f t="shared" si="3"/>
        <v>0.021949828495137963</v>
      </c>
      <c r="J29" s="21"/>
      <c r="K29" s="24">
        <f t="shared" si="4"/>
        <v>1453.37</v>
      </c>
      <c r="L29" s="23"/>
    </row>
    <row r="30" spans="1:12" ht="12.75" outlineLevel="1">
      <c r="A30" s="7" t="s">
        <v>54</v>
      </c>
      <c r="B30" s="8" t="s">
        <v>55</v>
      </c>
      <c r="C30" s="3">
        <f>3+5</f>
        <v>8</v>
      </c>
      <c r="D30" s="4">
        <f t="shared" si="0"/>
        <v>0.007142857142857143</v>
      </c>
      <c r="E30" s="3">
        <f>2+5+1</f>
        <v>8</v>
      </c>
      <c r="F30" s="4">
        <f t="shared" si="1"/>
        <v>0.015037593984962405</v>
      </c>
      <c r="G30" s="3">
        <f>175</f>
        <v>175</v>
      </c>
      <c r="H30" s="4">
        <f t="shared" si="2"/>
        <v>0.05202140309155767</v>
      </c>
      <c r="I30" s="10">
        <f t="shared" si="3"/>
        <v>0.024733951406459075</v>
      </c>
      <c r="J30" s="21"/>
      <c r="K30" s="24">
        <f t="shared" si="4"/>
        <v>1637.71</v>
      </c>
      <c r="L30" s="23"/>
    </row>
    <row r="31" spans="1:12" ht="12.75" outlineLevel="1">
      <c r="A31" s="7" t="s">
        <v>58</v>
      </c>
      <c r="B31" s="8" t="s">
        <v>59</v>
      </c>
      <c r="D31" s="4">
        <f t="shared" si="0"/>
        <v>0</v>
      </c>
      <c r="E31" s="3">
        <f>1+1+1</f>
        <v>3</v>
      </c>
      <c r="F31" s="4">
        <f t="shared" si="1"/>
        <v>0.005639097744360902</v>
      </c>
      <c r="H31" s="4">
        <f t="shared" si="2"/>
        <v>0</v>
      </c>
      <c r="I31" s="10">
        <f t="shared" si="3"/>
        <v>0.0018796992481203006</v>
      </c>
      <c r="J31" s="21"/>
      <c r="K31" s="24">
        <f t="shared" si="4"/>
        <v>124.46</v>
      </c>
      <c r="L31" s="23"/>
    </row>
    <row r="32" spans="1:12" ht="12.75" outlineLevel="1">
      <c r="A32" s="7" t="s">
        <v>60</v>
      </c>
      <c r="B32" s="8" t="s">
        <v>61</v>
      </c>
      <c r="D32" s="4">
        <f t="shared" si="0"/>
        <v>0</v>
      </c>
      <c r="E32" s="3">
        <f>2+8+3+1+1+1+1+2+3+1+1</f>
        <v>24</v>
      </c>
      <c r="F32" s="4">
        <f t="shared" si="1"/>
        <v>0.045112781954887216</v>
      </c>
      <c r="G32" s="3">
        <f>131</f>
        <v>131</v>
      </c>
      <c r="H32" s="4">
        <f t="shared" si="2"/>
        <v>0.038941736028537455</v>
      </c>
      <c r="I32" s="10">
        <f t="shared" si="3"/>
        <v>0.028018172661141556</v>
      </c>
      <c r="J32" s="21"/>
      <c r="K32" s="24">
        <f t="shared" si="4"/>
        <v>1855.17</v>
      </c>
      <c r="L32" s="23"/>
    </row>
    <row r="33" spans="1:12" ht="12.75" outlineLevel="1">
      <c r="A33" s="7" t="s">
        <v>62</v>
      </c>
      <c r="B33" s="8" t="s">
        <v>63</v>
      </c>
      <c r="D33" s="4">
        <f t="shared" si="0"/>
        <v>0</v>
      </c>
      <c r="F33" s="4">
        <f t="shared" si="1"/>
        <v>0</v>
      </c>
      <c r="G33" s="3">
        <f>24</f>
        <v>24</v>
      </c>
      <c r="H33" s="4">
        <f t="shared" si="2"/>
        <v>0.007134363852556481</v>
      </c>
      <c r="I33" s="10">
        <f t="shared" si="3"/>
        <v>0.0023781212841854937</v>
      </c>
      <c r="J33" s="21"/>
      <c r="K33" s="24">
        <f t="shared" si="4"/>
        <v>157.46</v>
      </c>
      <c r="L33" s="23"/>
    </row>
    <row r="34" spans="1:12" ht="12.75" outlineLevel="1">
      <c r="A34" s="7" t="s">
        <v>64</v>
      </c>
      <c r="B34" s="8" t="s">
        <v>65</v>
      </c>
      <c r="C34" s="3">
        <f>512+229</f>
        <v>741</v>
      </c>
      <c r="D34" s="4">
        <f t="shared" si="0"/>
        <v>0.6616071428571428</v>
      </c>
      <c r="E34" s="3">
        <f>3+68</f>
        <v>71</v>
      </c>
      <c r="F34" s="4">
        <f t="shared" si="1"/>
        <v>0.13345864661654136</v>
      </c>
      <c r="G34" s="3">
        <f>359</f>
        <v>359</v>
      </c>
      <c r="H34" s="4">
        <f t="shared" si="2"/>
        <v>0.10671819262782402</v>
      </c>
      <c r="I34" s="10">
        <f t="shared" si="3"/>
        <v>0.3005946607005027</v>
      </c>
      <c r="J34" s="21"/>
      <c r="K34" s="24">
        <f t="shared" si="4"/>
        <v>19903.3</v>
      </c>
      <c r="L34" s="23"/>
    </row>
    <row r="35" spans="1:12" ht="12.75" outlineLevel="1">
      <c r="A35" s="7" t="s">
        <v>66</v>
      </c>
      <c r="B35" s="8" t="s">
        <v>67</v>
      </c>
      <c r="D35" s="4">
        <f t="shared" si="0"/>
        <v>0</v>
      </c>
      <c r="F35" s="4">
        <f t="shared" si="1"/>
        <v>0</v>
      </c>
      <c r="G35" s="3">
        <f>6</f>
        <v>6</v>
      </c>
      <c r="H35" s="4">
        <f t="shared" si="2"/>
        <v>0.0017835909631391202</v>
      </c>
      <c r="I35" s="10">
        <f t="shared" si="3"/>
        <v>0.0005945303210463734</v>
      </c>
      <c r="J35" s="21"/>
      <c r="K35" s="24">
        <f t="shared" si="4"/>
        <v>39.37</v>
      </c>
      <c r="L35" s="23"/>
    </row>
    <row r="36" spans="1:12" ht="12.75" outlineLevel="1">
      <c r="A36" s="7" t="s">
        <v>68</v>
      </c>
      <c r="B36" s="8" t="s">
        <v>69</v>
      </c>
      <c r="D36" s="4">
        <f t="shared" si="0"/>
        <v>0</v>
      </c>
      <c r="F36" s="4">
        <f t="shared" si="1"/>
        <v>0</v>
      </c>
      <c r="G36" s="3">
        <f>9</f>
        <v>9</v>
      </c>
      <c r="H36" s="4">
        <f t="shared" si="2"/>
        <v>0.00267538644470868</v>
      </c>
      <c r="I36" s="10">
        <f t="shared" si="3"/>
        <v>0.0008917954815695601</v>
      </c>
      <c r="J36" s="21"/>
      <c r="K36" s="24">
        <f t="shared" si="4"/>
        <v>59.05</v>
      </c>
      <c r="L36" s="23"/>
    </row>
    <row r="37" spans="1:12" ht="12.75" outlineLevel="1">
      <c r="A37" s="7" t="s">
        <v>70</v>
      </c>
      <c r="B37" s="8" t="s">
        <v>71</v>
      </c>
      <c r="C37" s="3">
        <f>9+3</f>
        <v>12</v>
      </c>
      <c r="D37" s="4">
        <f t="shared" si="0"/>
        <v>0.010714285714285714</v>
      </c>
      <c r="E37" s="3">
        <f>13+1+1+1+1+1</f>
        <v>18</v>
      </c>
      <c r="F37" s="4">
        <f t="shared" si="1"/>
        <v>0.03383458646616541</v>
      </c>
      <c r="G37" s="3">
        <f>231</f>
        <v>231</v>
      </c>
      <c r="H37" s="4">
        <f t="shared" si="2"/>
        <v>0.06866825208085613</v>
      </c>
      <c r="I37" s="10">
        <f t="shared" si="3"/>
        <v>0.03773904142043575</v>
      </c>
      <c r="J37" s="21"/>
      <c r="K37" s="24">
        <f t="shared" si="4"/>
        <v>2498.82</v>
      </c>
      <c r="L37" s="23"/>
    </row>
    <row r="38" spans="1:12" ht="12.75" outlineLevel="1">
      <c r="A38" s="7" t="s">
        <v>74</v>
      </c>
      <c r="B38" s="8" t="s">
        <v>75</v>
      </c>
      <c r="D38" s="4">
        <f t="shared" si="0"/>
        <v>0</v>
      </c>
      <c r="F38" s="4">
        <f t="shared" si="1"/>
        <v>0</v>
      </c>
      <c r="G38" s="3">
        <f>7</f>
        <v>7</v>
      </c>
      <c r="H38" s="4">
        <f t="shared" si="2"/>
        <v>0.002080856123662307</v>
      </c>
      <c r="I38" s="10">
        <f t="shared" si="3"/>
        <v>0.0006936187078874356</v>
      </c>
      <c r="J38" s="21"/>
      <c r="K38" s="24">
        <f t="shared" si="4"/>
        <v>45.93</v>
      </c>
      <c r="L38" s="23"/>
    </row>
    <row r="39" spans="1:12" ht="12.75" outlineLevel="1">
      <c r="A39" s="7" t="s">
        <v>76</v>
      </c>
      <c r="B39" s="8" t="s">
        <v>77</v>
      </c>
      <c r="C39" s="3">
        <f>16+1+15+5</f>
        <v>37</v>
      </c>
      <c r="D39" s="4">
        <f t="shared" si="0"/>
        <v>0.033035714285714286</v>
      </c>
      <c r="E39" s="3">
        <f>2+1+3+1+3+2+1+1+2+6+6+1+49+9+1</f>
        <v>88</v>
      </c>
      <c r="F39" s="4">
        <f t="shared" si="1"/>
        <v>0.16541353383458646</v>
      </c>
      <c r="G39" s="3">
        <f>48+433</f>
        <v>481</v>
      </c>
      <c r="H39" s="4">
        <f t="shared" si="2"/>
        <v>0.1429845422116528</v>
      </c>
      <c r="I39" s="10">
        <f t="shared" si="3"/>
        <v>0.11381126344398451</v>
      </c>
      <c r="J39" s="21"/>
      <c r="K39" s="24">
        <f t="shared" si="4"/>
        <v>7535.79</v>
      </c>
      <c r="L39" s="23"/>
    </row>
    <row r="40" spans="1:12" ht="12.75" outlineLevel="1">
      <c r="A40" s="7" t="s">
        <v>78</v>
      </c>
      <c r="B40" s="8" t="s">
        <v>79</v>
      </c>
      <c r="C40" s="3">
        <f>5</f>
        <v>5</v>
      </c>
      <c r="D40" s="4">
        <f t="shared" si="0"/>
        <v>0.004464285714285714</v>
      </c>
      <c r="E40" s="3">
        <f>3+18+8+2</f>
        <v>31</v>
      </c>
      <c r="F40" s="4">
        <f t="shared" si="1"/>
        <v>0.05827067669172932</v>
      </c>
      <c r="G40" s="3">
        <f>72</f>
        <v>72</v>
      </c>
      <c r="H40" s="4">
        <f t="shared" si="2"/>
        <v>0.02140309155766944</v>
      </c>
      <c r="I40" s="10">
        <f t="shared" si="3"/>
        <v>0.028046017987894824</v>
      </c>
      <c r="J40" s="21"/>
      <c r="K40" s="24">
        <f t="shared" si="4"/>
        <v>1857.01</v>
      </c>
      <c r="L40" s="23"/>
    </row>
    <row r="41" spans="1:12" ht="12.75" outlineLevel="1">
      <c r="A41" s="7" t="s">
        <v>82</v>
      </c>
      <c r="B41" s="8" t="s">
        <v>83</v>
      </c>
      <c r="D41" s="4">
        <f t="shared" si="0"/>
        <v>0</v>
      </c>
      <c r="F41" s="4">
        <f t="shared" si="1"/>
        <v>0</v>
      </c>
      <c r="G41" s="3">
        <f>38</f>
        <v>38</v>
      </c>
      <c r="H41" s="4">
        <f t="shared" si="2"/>
        <v>0.011296076099881093</v>
      </c>
      <c r="I41" s="10">
        <f t="shared" si="3"/>
        <v>0.0037653586999603643</v>
      </c>
      <c r="J41" s="21"/>
      <c r="K41" s="24">
        <f t="shared" si="4"/>
        <v>249.32</v>
      </c>
      <c r="L41" s="23"/>
    </row>
    <row r="42" spans="1:12" ht="13.5" outlineLevel="1" thickBot="1">
      <c r="A42" s="14" t="s">
        <v>84</v>
      </c>
      <c r="C42" s="1">
        <f aca="true" t="shared" si="5" ref="C42:H42">SUM(C7:C41)</f>
        <v>1120</v>
      </c>
      <c r="D42" s="15">
        <f t="shared" si="5"/>
        <v>0.9999999999999999</v>
      </c>
      <c r="E42" s="1">
        <f t="shared" si="5"/>
        <v>532</v>
      </c>
      <c r="F42" s="15">
        <f t="shared" si="5"/>
        <v>1</v>
      </c>
      <c r="G42" s="1">
        <f t="shared" si="5"/>
        <v>3364</v>
      </c>
      <c r="H42" s="15">
        <f t="shared" si="5"/>
        <v>0.9999999999999999</v>
      </c>
      <c r="I42" s="10">
        <f t="shared" si="3"/>
        <v>1</v>
      </c>
      <c r="J42" s="25"/>
      <c r="K42" s="26">
        <f>'FY11 to FY10 Comparison'!K6:L6</f>
        <v>66213.07</v>
      </c>
      <c r="L42" s="27"/>
    </row>
    <row r="44" ht="12.75">
      <c r="K44" s="80">
        <f>SUM(K7:K41)</f>
        <v>66213.08</v>
      </c>
    </row>
  </sheetData>
  <mergeCells count="2">
    <mergeCell ref="J3:L4"/>
    <mergeCell ref="J5:L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Row="1"/>
  <cols>
    <col min="1" max="1" width="35.00390625" style="7" bestFit="1" customWidth="1"/>
    <col min="2" max="2" width="16.5742187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584</v>
      </c>
      <c r="B2" s="2"/>
    </row>
    <row r="3" spans="7:12" ht="12.75">
      <c r="G3" s="3" t="s">
        <v>585</v>
      </c>
      <c r="J3" s="133" t="s">
        <v>1</v>
      </c>
      <c r="K3" s="134"/>
      <c r="L3" s="135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6"/>
      <c r="K4" s="137"/>
      <c r="L4" s="138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39" t="s">
        <v>610</v>
      </c>
      <c r="K5" s="140"/>
      <c r="L5" s="141"/>
    </row>
    <row r="6" spans="1:12" ht="12.75" outlineLevel="1">
      <c r="A6" s="1" t="s">
        <v>85</v>
      </c>
      <c r="B6" s="2"/>
      <c r="I6" s="10"/>
      <c r="J6" s="21"/>
      <c r="K6" s="24"/>
      <c r="L6" s="23"/>
    </row>
    <row r="7" spans="1:12" ht="12.75" outlineLevel="1">
      <c r="A7" s="7" t="s">
        <v>86</v>
      </c>
      <c r="B7" s="8" t="s">
        <v>87</v>
      </c>
      <c r="C7" s="3">
        <f>17+10</f>
        <v>27</v>
      </c>
      <c r="D7" s="4">
        <f>C7/$C$23</f>
        <v>0.23478260869565218</v>
      </c>
      <c r="E7" s="3">
        <f>2+1</f>
        <v>3</v>
      </c>
      <c r="F7" s="4">
        <f>E7/$E$23</f>
        <v>0.011406844106463879</v>
      </c>
      <c r="G7" s="3">
        <f>19</f>
        <v>19</v>
      </c>
      <c r="H7" s="4">
        <f>G7/$G$23</f>
        <v>0.014797507788161994</v>
      </c>
      <c r="I7" s="10">
        <f aca="true" t="shared" si="0" ref="I7:I23">+(D7+F7+H7)/3</f>
        <v>0.08699565353009268</v>
      </c>
      <c r="J7" s="21"/>
      <c r="K7" s="24">
        <f>$K$23*I7</f>
        <v>1893.098497163782</v>
      </c>
      <c r="L7" s="23"/>
    </row>
    <row r="8" spans="1:12" ht="12.75" outlineLevel="1">
      <c r="A8" s="7" t="s">
        <v>88</v>
      </c>
      <c r="B8" s="8" t="s">
        <v>89</v>
      </c>
      <c r="D8" s="4">
        <f aca="true" t="shared" si="1" ref="D8:D22">C8/$C$23</f>
        <v>0</v>
      </c>
      <c r="E8" s="3">
        <f>1+1+1+1+1+1+2+2+1+1+2+1+1+1+1+2+1+1+1+1+1+3+1+1</f>
        <v>30</v>
      </c>
      <c r="F8" s="4">
        <f aca="true" t="shared" si="2" ref="F8:F22">E8/$E$23</f>
        <v>0.11406844106463879</v>
      </c>
      <c r="G8" s="3">
        <f>91</f>
        <v>91</v>
      </c>
      <c r="H8" s="4">
        <f aca="true" t="shared" si="3" ref="H8:H22">G8/$G$23</f>
        <v>0.07087227414330217</v>
      </c>
      <c r="I8" s="10">
        <f t="shared" si="0"/>
        <v>0.06164690506931366</v>
      </c>
      <c r="J8" s="21"/>
      <c r="K8" s="24">
        <f aca="true" t="shared" si="4" ref="K8:K22">$K$23*I8</f>
        <v>1341.4884377085234</v>
      </c>
      <c r="L8" s="23"/>
    </row>
    <row r="9" spans="1:12" ht="12.75" outlineLevel="1">
      <c r="A9" s="7" t="s">
        <v>90</v>
      </c>
      <c r="B9" s="8" t="s">
        <v>91</v>
      </c>
      <c r="D9" s="4">
        <f t="shared" si="1"/>
        <v>0</v>
      </c>
      <c r="E9" s="3">
        <f>3+3+3+2+3+3+12+2+1+1+1+3</f>
        <v>37</v>
      </c>
      <c r="F9" s="4">
        <f t="shared" si="2"/>
        <v>0.14068441064638784</v>
      </c>
      <c r="G9" s="3">
        <f>64</f>
        <v>64</v>
      </c>
      <c r="H9" s="4">
        <f t="shared" si="3"/>
        <v>0.04984423676012461</v>
      </c>
      <c r="I9" s="10">
        <f t="shared" si="0"/>
        <v>0.06350954913550415</v>
      </c>
      <c r="J9" s="21"/>
      <c r="K9" s="24">
        <f t="shared" si="4"/>
        <v>1382.021137209844</v>
      </c>
      <c r="L9" s="23"/>
    </row>
    <row r="10" spans="1:12" ht="12.75" outlineLevel="1">
      <c r="A10" s="7" t="s">
        <v>23</v>
      </c>
      <c r="B10" s="16" t="s">
        <v>557</v>
      </c>
      <c r="C10" s="3">
        <f>3+5</f>
        <v>8</v>
      </c>
      <c r="D10" s="4">
        <f t="shared" si="1"/>
        <v>0.06956521739130435</v>
      </c>
      <c r="E10" s="3">
        <f>2</f>
        <v>2</v>
      </c>
      <c r="F10" s="4">
        <f t="shared" si="2"/>
        <v>0.0076045627376425855</v>
      </c>
      <c r="G10" s="3">
        <f>23+20+81+3</f>
        <v>127</v>
      </c>
      <c r="H10" s="4">
        <f t="shared" si="3"/>
        <v>0.09890965732087227</v>
      </c>
      <c r="I10" s="10">
        <f t="shared" si="0"/>
        <v>0.058693145816606396</v>
      </c>
      <c r="J10" s="21"/>
      <c r="K10" s="24">
        <f t="shared" si="4"/>
        <v>1277.212155211841</v>
      </c>
      <c r="L10" s="23"/>
    </row>
    <row r="11" spans="1:12" ht="12.75" outlineLevel="1">
      <c r="A11" s="7" t="s">
        <v>92</v>
      </c>
      <c r="B11" s="8" t="s">
        <v>93</v>
      </c>
      <c r="C11" s="3">
        <f>1+6</f>
        <v>7</v>
      </c>
      <c r="D11" s="4">
        <f t="shared" si="1"/>
        <v>0.06086956521739131</v>
      </c>
      <c r="E11" s="3">
        <f>57</f>
        <v>57</v>
      </c>
      <c r="F11" s="4">
        <f t="shared" si="2"/>
        <v>0.21673003802281368</v>
      </c>
      <c r="G11" s="3">
        <f>612</f>
        <v>612</v>
      </c>
      <c r="H11" s="4">
        <f t="shared" si="3"/>
        <v>0.4766355140186916</v>
      </c>
      <c r="I11" s="10">
        <f t="shared" si="0"/>
        <v>0.2514117057529655</v>
      </c>
      <c r="J11" s="21"/>
      <c r="K11" s="24">
        <f t="shared" si="4"/>
        <v>5470.929903017362</v>
      </c>
      <c r="L11" s="23"/>
    </row>
    <row r="12" spans="1:12" ht="12.75" outlineLevel="1">
      <c r="A12" s="7" t="s">
        <v>94</v>
      </c>
      <c r="B12" s="8" t="s">
        <v>95</v>
      </c>
      <c r="D12" s="4">
        <f t="shared" si="1"/>
        <v>0</v>
      </c>
      <c r="F12" s="4">
        <f t="shared" si="2"/>
        <v>0</v>
      </c>
      <c r="G12" s="3">
        <f>1</f>
        <v>1</v>
      </c>
      <c r="H12" s="4">
        <f t="shared" si="3"/>
        <v>0.000778816199376947</v>
      </c>
      <c r="I12" s="10">
        <f t="shared" si="0"/>
        <v>0.00025960539979231567</v>
      </c>
      <c r="J12" s="21"/>
      <c r="K12" s="24">
        <f t="shared" si="4"/>
        <v>5.6492315680166145</v>
      </c>
      <c r="L12" s="23"/>
    </row>
    <row r="13" spans="1:12" ht="12.75" outlineLevel="1">
      <c r="A13" s="7" t="s">
        <v>96</v>
      </c>
      <c r="B13" s="8" t="s">
        <v>97</v>
      </c>
      <c r="D13" s="4">
        <f t="shared" si="1"/>
        <v>0</v>
      </c>
      <c r="F13" s="4">
        <f t="shared" si="2"/>
        <v>0</v>
      </c>
      <c r="G13" s="3">
        <f>9</f>
        <v>9</v>
      </c>
      <c r="H13" s="4">
        <f t="shared" si="3"/>
        <v>0.007009345794392523</v>
      </c>
      <c r="I13" s="10">
        <f t="shared" si="0"/>
        <v>0.002336448598130841</v>
      </c>
      <c r="J13" s="21"/>
      <c r="K13" s="24">
        <f t="shared" si="4"/>
        <v>50.843084112149526</v>
      </c>
      <c r="L13" s="23"/>
    </row>
    <row r="14" spans="1:12" ht="12.75" outlineLevel="1">
      <c r="A14" s="7" t="s">
        <v>98</v>
      </c>
      <c r="B14" s="8" t="s">
        <v>99</v>
      </c>
      <c r="C14" s="3">
        <f>24+31</f>
        <v>55</v>
      </c>
      <c r="D14" s="4">
        <f t="shared" si="1"/>
        <v>0.4782608695652174</v>
      </c>
      <c r="E14" s="3">
        <f>1</f>
        <v>1</v>
      </c>
      <c r="F14" s="4">
        <f t="shared" si="2"/>
        <v>0.0038022813688212928</v>
      </c>
      <c r="G14" s="3">
        <f>104</f>
        <v>104</v>
      </c>
      <c r="H14" s="4">
        <f t="shared" si="3"/>
        <v>0.08099688473520249</v>
      </c>
      <c r="I14" s="10">
        <f t="shared" si="0"/>
        <v>0.18768667855641372</v>
      </c>
      <c r="J14" s="21"/>
      <c r="K14" s="24">
        <f t="shared" si="4"/>
        <v>4084.21978219755</v>
      </c>
      <c r="L14" s="23"/>
    </row>
    <row r="15" spans="1:12" ht="12.75" outlineLevel="1">
      <c r="A15" s="7" t="s">
        <v>100</v>
      </c>
      <c r="B15" s="8" t="s">
        <v>101</v>
      </c>
      <c r="D15" s="4">
        <f t="shared" si="1"/>
        <v>0</v>
      </c>
      <c r="E15" s="3">
        <f>10+1+1+4</f>
        <v>16</v>
      </c>
      <c r="F15" s="4">
        <f t="shared" si="2"/>
        <v>0.060836501901140684</v>
      </c>
      <c r="G15" s="3">
        <f>30</f>
        <v>30</v>
      </c>
      <c r="H15" s="4">
        <f t="shared" si="3"/>
        <v>0.02336448598130841</v>
      </c>
      <c r="I15" s="10">
        <f t="shared" si="0"/>
        <v>0.028066995960816365</v>
      </c>
      <c r="J15" s="21"/>
      <c r="K15" s="24">
        <f t="shared" si="4"/>
        <v>610.7614083839712</v>
      </c>
      <c r="L15" s="23"/>
    </row>
    <row r="16" spans="1:12" ht="12.75" outlineLevel="1">
      <c r="A16" s="7" t="s">
        <v>102</v>
      </c>
      <c r="B16" s="8" t="s">
        <v>103</v>
      </c>
      <c r="C16" s="3">
        <f>1+4</f>
        <v>5</v>
      </c>
      <c r="D16" s="4">
        <f t="shared" si="1"/>
        <v>0.043478260869565216</v>
      </c>
      <c r="E16" s="3">
        <f>1+2+1+6</f>
        <v>10</v>
      </c>
      <c r="F16" s="4">
        <f t="shared" si="2"/>
        <v>0.03802281368821293</v>
      </c>
      <c r="G16" s="3">
        <f>96</f>
        <v>96</v>
      </c>
      <c r="H16" s="4">
        <f t="shared" si="3"/>
        <v>0.07476635514018691</v>
      </c>
      <c r="I16" s="10">
        <f t="shared" si="0"/>
        <v>0.05208914323265501</v>
      </c>
      <c r="J16" s="21"/>
      <c r="K16" s="24">
        <f t="shared" si="4"/>
        <v>1133.5035116228885</v>
      </c>
      <c r="L16" s="23"/>
    </row>
    <row r="17" spans="1:12" ht="12.75" outlineLevel="1">
      <c r="A17" s="7" t="s">
        <v>572</v>
      </c>
      <c r="B17" s="8" t="s">
        <v>573</v>
      </c>
      <c r="D17" s="4">
        <f t="shared" si="1"/>
        <v>0</v>
      </c>
      <c r="F17" s="4">
        <f t="shared" si="2"/>
        <v>0</v>
      </c>
      <c r="G17" s="3">
        <f>3</f>
        <v>3</v>
      </c>
      <c r="H17" s="4">
        <f t="shared" si="3"/>
        <v>0.002336448598130841</v>
      </c>
      <c r="I17" s="10">
        <f t="shared" si="0"/>
        <v>0.000778816199376947</v>
      </c>
      <c r="J17" s="21"/>
      <c r="K17" s="24">
        <f t="shared" si="4"/>
        <v>16.947694704049844</v>
      </c>
      <c r="L17" s="23"/>
    </row>
    <row r="18" spans="1:12" ht="12.75" outlineLevel="1">
      <c r="A18" s="7" t="s">
        <v>104</v>
      </c>
      <c r="B18" s="8" t="s">
        <v>105</v>
      </c>
      <c r="D18" s="4">
        <f t="shared" si="1"/>
        <v>0</v>
      </c>
      <c r="E18" s="3">
        <f>25+6+1+10+2+20+1+2+1+5+2</f>
        <v>75</v>
      </c>
      <c r="F18" s="4">
        <f t="shared" si="2"/>
        <v>0.28517110266159695</v>
      </c>
      <c r="G18" s="3">
        <f>36</f>
        <v>36</v>
      </c>
      <c r="H18" s="4">
        <f t="shared" si="3"/>
        <v>0.028037383177570093</v>
      </c>
      <c r="I18" s="10">
        <f t="shared" si="0"/>
        <v>0.10440282861305568</v>
      </c>
      <c r="J18" s="21"/>
      <c r="K18" s="24">
        <f t="shared" si="4"/>
        <v>2271.8932489961267</v>
      </c>
      <c r="L18" s="23"/>
    </row>
    <row r="19" spans="1:12" ht="12.75" outlineLevel="1">
      <c r="A19" s="7" t="s">
        <v>578</v>
      </c>
      <c r="B19" s="8" t="s">
        <v>579</v>
      </c>
      <c r="C19" s="3">
        <f>3+3</f>
        <v>6</v>
      </c>
      <c r="D19" s="4">
        <f t="shared" si="1"/>
        <v>0.05217391304347826</v>
      </c>
      <c r="E19" s="3">
        <f>4+1+1+1+2+1+1+2+1+1</f>
        <v>15</v>
      </c>
      <c r="F19" s="4">
        <f t="shared" si="2"/>
        <v>0.057034220532319393</v>
      </c>
      <c r="G19" s="3">
        <f>7</f>
        <v>7</v>
      </c>
      <c r="H19" s="4">
        <f t="shared" si="3"/>
        <v>0.005451713395638629</v>
      </c>
      <c r="I19" s="10">
        <f t="shared" si="0"/>
        <v>0.03821994899047876</v>
      </c>
      <c r="J19" s="21"/>
      <c r="K19" s="24">
        <f t="shared" si="4"/>
        <v>831.6981947899698</v>
      </c>
      <c r="L19" s="23"/>
    </row>
    <row r="20" spans="1:12" ht="12.75" outlineLevel="1">
      <c r="A20" s="7" t="s">
        <v>106</v>
      </c>
      <c r="B20" s="8" t="s">
        <v>107</v>
      </c>
      <c r="C20" s="3">
        <f>6</f>
        <v>6</v>
      </c>
      <c r="D20" s="4">
        <f t="shared" si="1"/>
        <v>0.05217391304347826</v>
      </c>
      <c r="E20" s="3">
        <f>6+1</f>
        <v>7</v>
      </c>
      <c r="F20" s="4">
        <f t="shared" si="2"/>
        <v>0.026615969581749048</v>
      </c>
      <c r="G20" s="3">
        <f>78</f>
        <v>78</v>
      </c>
      <c r="H20" s="4">
        <f t="shared" si="3"/>
        <v>0.06074766355140187</v>
      </c>
      <c r="I20" s="10">
        <f t="shared" si="0"/>
        <v>0.04651251539220972</v>
      </c>
      <c r="J20" s="21"/>
      <c r="K20" s="24">
        <f t="shared" si="4"/>
        <v>1012.151405447413</v>
      </c>
      <c r="L20" s="23"/>
    </row>
    <row r="21" spans="1:12" ht="12.75" outlineLevel="1">
      <c r="A21" s="7" t="s">
        <v>577</v>
      </c>
      <c r="B21" s="8" t="s">
        <v>576</v>
      </c>
      <c r="D21" s="4">
        <f t="shared" si="1"/>
        <v>0</v>
      </c>
      <c r="E21" s="3">
        <f>1+2+2+2+3</f>
        <v>10</v>
      </c>
      <c r="F21" s="4">
        <f t="shared" si="2"/>
        <v>0.03802281368821293</v>
      </c>
      <c r="G21" s="3">
        <f>3</f>
        <v>3</v>
      </c>
      <c r="H21" s="4">
        <f t="shared" si="3"/>
        <v>0.002336448598130841</v>
      </c>
      <c r="I21" s="10">
        <f t="shared" si="0"/>
        <v>0.013453087428781256</v>
      </c>
      <c r="J21" s="21"/>
      <c r="K21" s="24">
        <f t="shared" si="4"/>
        <v>292.7504830437203</v>
      </c>
      <c r="L21" s="23"/>
    </row>
    <row r="22" spans="1:12" ht="12.75" outlineLevel="1">
      <c r="A22" s="7" t="s">
        <v>108</v>
      </c>
      <c r="B22" s="8" t="s">
        <v>109</v>
      </c>
      <c r="C22" s="3">
        <f>1</f>
        <v>1</v>
      </c>
      <c r="D22" s="4">
        <f t="shared" si="1"/>
        <v>0.008695652173913044</v>
      </c>
      <c r="F22" s="4">
        <f t="shared" si="2"/>
        <v>0</v>
      </c>
      <c r="G22" s="3">
        <f>4</f>
        <v>4</v>
      </c>
      <c r="H22" s="4">
        <f t="shared" si="3"/>
        <v>0.003115264797507788</v>
      </c>
      <c r="I22" s="10">
        <f t="shared" si="0"/>
        <v>0.003936972323806944</v>
      </c>
      <c r="J22" s="21"/>
      <c r="K22" s="24">
        <f t="shared" si="4"/>
        <v>85.67182482279111</v>
      </c>
      <c r="L22" s="23"/>
    </row>
    <row r="23" spans="1:12" ht="13.5" thickBot="1">
      <c r="A23" s="14" t="s">
        <v>110</v>
      </c>
      <c r="B23" s="17"/>
      <c r="C23" s="1">
        <f aca="true" t="shared" si="5" ref="C23:H23">SUM(C7:C22)</f>
        <v>115</v>
      </c>
      <c r="D23" s="15">
        <f t="shared" si="5"/>
        <v>1</v>
      </c>
      <c r="E23" s="1">
        <f t="shared" si="5"/>
        <v>263</v>
      </c>
      <c r="F23" s="15">
        <f t="shared" si="5"/>
        <v>1.0000000000000002</v>
      </c>
      <c r="G23" s="1">
        <f t="shared" si="5"/>
        <v>1284</v>
      </c>
      <c r="H23" s="15">
        <f t="shared" si="5"/>
        <v>1</v>
      </c>
      <c r="I23" s="10">
        <f t="shared" si="0"/>
        <v>1</v>
      </c>
      <c r="J23" s="25"/>
      <c r="K23" s="26">
        <f>'FY11 to FY10 Comparison'!K8:L8</f>
        <v>21760.84</v>
      </c>
      <c r="L23" s="27"/>
    </row>
    <row r="25" ht="12.75">
      <c r="K25" s="80">
        <f>SUM(K7:K22)</f>
        <v>21760.84</v>
      </c>
    </row>
  </sheetData>
  <mergeCells count="2">
    <mergeCell ref="J3:L4"/>
    <mergeCell ref="J5:L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pane xSplit="1" ySplit="5" topLeftCell="J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Row="1"/>
  <cols>
    <col min="1" max="1" width="47.28125" style="7" bestFit="1" customWidth="1"/>
    <col min="2" max="2" width="8.14062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584</v>
      </c>
      <c r="B2" s="2"/>
    </row>
    <row r="3" spans="7:12" ht="12.75">
      <c r="G3" s="3" t="s">
        <v>585</v>
      </c>
      <c r="J3" s="133" t="s">
        <v>1</v>
      </c>
      <c r="K3" s="134"/>
      <c r="L3" s="135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6"/>
      <c r="K4" s="137"/>
      <c r="L4" s="138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39" t="s">
        <v>610</v>
      </c>
      <c r="K5" s="140"/>
      <c r="L5" s="141"/>
    </row>
    <row r="6" spans="1:12" ht="12.75">
      <c r="A6" s="1" t="s">
        <v>111</v>
      </c>
      <c r="B6" s="2"/>
      <c r="J6" s="21"/>
      <c r="K6" s="24"/>
      <c r="L6" s="23"/>
    </row>
    <row r="7" spans="1:12" ht="12.75" outlineLevel="1">
      <c r="A7" s="7" t="s">
        <v>112</v>
      </c>
      <c r="B7" s="8" t="s">
        <v>113</v>
      </c>
      <c r="C7" s="3">
        <f>2+4</f>
        <v>6</v>
      </c>
      <c r="D7" s="4">
        <f>ROUND(C7/$C$46,3)</f>
        <v>0.004</v>
      </c>
      <c r="E7" s="3">
        <f>1+11</f>
        <v>12</v>
      </c>
      <c r="F7" s="4">
        <f>E7/$E$46</f>
        <v>0.024691358024691357</v>
      </c>
      <c r="G7" s="3">
        <f>21</f>
        <v>21</v>
      </c>
      <c r="H7" s="4">
        <f>G7/$G$46</f>
        <v>0.0060396893874029335</v>
      </c>
      <c r="I7" s="10">
        <f aca="true" t="shared" si="0" ref="I7:I46">+(D7+F7+H7)/3</f>
        <v>0.01157701580403143</v>
      </c>
      <c r="J7" s="21"/>
      <c r="K7" s="24">
        <f>$K$46*I7</f>
        <v>829.5311549706892</v>
      </c>
      <c r="L7" s="23"/>
    </row>
    <row r="8" spans="1:12" ht="12.75" outlineLevel="1">
      <c r="A8" s="7" t="s">
        <v>114</v>
      </c>
      <c r="B8" s="8" t="s">
        <v>115</v>
      </c>
      <c r="D8" s="4">
        <f aca="true" t="shared" si="1" ref="D8:D45">ROUND(C8/$C$46,3)</f>
        <v>0</v>
      </c>
      <c r="E8" s="3">
        <f>14</f>
        <v>14</v>
      </c>
      <c r="F8" s="4">
        <f aca="true" t="shared" si="2" ref="F8:F45">E8/$E$46</f>
        <v>0.02880658436213992</v>
      </c>
      <c r="H8" s="4">
        <f aca="true" t="shared" si="3" ref="H8:H45">G8/$G$46</f>
        <v>0</v>
      </c>
      <c r="I8" s="10">
        <f t="shared" si="0"/>
        <v>0.009602194787379973</v>
      </c>
      <c r="J8" s="21"/>
      <c r="K8" s="24">
        <f aca="true" t="shared" si="4" ref="K8:K45">$K$46*I8</f>
        <v>688.0287517146777</v>
      </c>
      <c r="L8" s="23"/>
    </row>
    <row r="9" spans="1:12" ht="12.75" outlineLevel="1">
      <c r="A9" s="7" t="s">
        <v>594</v>
      </c>
      <c r="B9" s="8" t="s">
        <v>595</v>
      </c>
      <c r="D9" s="4">
        <f t="shared" si="1"/>
        <v>0</v>
      </c>
      <c r="E9" s="3">
        <f>5</f>
        <v>5</v>
      </c>
      <c r="F9" s="4">
        <f t="shared" si="2"/>
        <v>0.0102880658436214</v>
      </c>
      <c r="G9" s="3">
        <f>5</f>
        <v>5</v>
      </c>
      <c r="H9" s="4">
        <f t="shared" si="3"/>
        <v>0.0014380212827149843</v>
      </c>
      <c r="I9" s="10">
        <f t="shared" si="0"/>
        <v>0.0039086957087787946</v>
      </c>
      <c r="J9" s="21"/>
      <c r="K9" s="24">
        <f t="shared" si="4"/>
        <v>280.0708680559254</v>
      </c>
      <c r="L9" s="23"/>
    </row>
    <row r="10" spans="1:12" ht="12.75" outlineLevel="1">
      <c r="A10" s="7" t="s">
        <v>116</v>
      </c>
      <c r="B10" s="8" t="s">
        <v>117</v>
      </c>
      <c r="D10" s="4">
        <f t="shared" si="1"/>
        <v>0</v>
      </c>
      <c r="E10" s="3">
        <f>1+1+4+1+1+7+1+2+1+2+1+3+2+2+1+1+3</f>
        <v>34</v>
      </c>
      <c r="F10" s="4">
        <f t="shared" si="2"/>
        <v>0.06995884773662552</v>
      </c>
      <c r="G10" s="3">
        <f>92</f>
        <v>92</v>
      </c>
      <c r="H10" s="4">
        <f t="shared" si="3"/>
        <v>0.02645959160195571</v>
      </c>
      <c r="I10" s="10">
        <f t="shared" si="0"/>
        <v>0.03213947977952707</v>
      </c>
      <c r="J10" s="21"/>
      <c r="K10" s="24">
        <f t="shared" si="4"/>
        <v>2302.8991436967917</v>
      </c>
      <c r="L10" s="23"/>
    </row>
    <row r="11" spans="1:12" ht="12.75" outlineLevel="1">
      <c r="A11" s="7" t="s">
        <v>118</v>
      </c>
      <c r="B11" s="8" t="s">
        <v>119</v>
      </c>
      <c r="C11" s="3">
        <f>5+58</f>
        <v>63</v>
      </c>
      <c r="D11" s="4">
        <f t="shared" si="1"/>
        <v>0.043</v>
      </c>
      <c r="F11" s="4">
        <f t="shared" si="2"/>
        <v>0</v>
      </c>
      <c r="G11" s="3">
        <f>2</f>
        <v>2</v>
      </c>
      <c r="H11" s="4">
        <f t="shared" si="3"/>
        <v>0.0005752085130859936</v>
      </c>
      <c r="I11" s="10">
        <f t="shared" si="0"/>
        <v>0.014525069504361996</v>
      </c>
      <c r="J11" s="21"/>
      <c r="K11" s="24">
        <f t="shared" si="4"/>
        <v>1040.7688722155112</v>
      </c>
      <c r="L11" s="23"/>
    </row>
    <row r="12" spans="1:12" ht="12.75" outlineLevel="1">
      <c r="A12" s="7" t="s">
        <v>120</v>
      </c>
      <c r="B12" s="8" t="s">
        <v>121</v>
      </c>
      <c r="C12" s="3">
        <f>4+20</f>
        <v>24</v>
      </c>
      <c r="D12" s="4">
        <f t="shared" si="1"/>
        <v>0.016</v>
      </c>
      <c r="E12" s="3">
        <f>18</f>
        <v>18</v>
      </c>
      <c r="F12" s="4">
        <f t="shared" si="2"/>
        <v>0.037037037037037035</v>
      </c>
      <c r="G12" s="3">
        <f>110</f>
        <v>110</v>
      </c>
      <c r="H12" s="4">
        <f t="shared" si="3"/>
        <v>0.03163646821972965</v>
      </c>
      <c r="I12" s="10">
        <f t="shared" si="0"/>
        <v>0.028224501752255562</v>
      </c>
      <c r="J12" s="21"/>
      <c r="K12" s="24">
        <f t="shared" si="4"/>
        <v>2022.3781269148585</v>
      </c>
      <c r="L12" s="23"/>
    </row>
    <row r="13" spans="1:12" ht="12.75" outlineLevel="1">
      <c r="A13" s="7" t="s">
        <v>122</v>
      </c>
      <c r="B13" s="8" t="s">
        <v>123</v>
      </c>
      <c r="C13" s="3">
        <f>30+109</f>
        <v>139</v>
      </c>
      <c r="D13" s="4">
        <f t="shared" si="1"/>
        <v>0.095</v>
      </c>
      <c r="E13" s="3">
        <f>42+3</f>
        <v>45</v>
      </c>
      <c r="F13" s="4">
        <f t="shared" si="2"/>
        <v>0.09259259259259259</v>
      </c>
      <c r="G13" s="3">
        <f>59</f>
        <v>59</v>
      </c>
      <c r="H13" s="4">
        <f t="shared" si="3"/>
        <v>0.016968651136036815</v>
      </c>
      <c r="I13" s="10">
        <f t="shared" si="0"/>
        <v>0.06818708124287647</v>
      </c>
      <c r="J13" s="21"/>
      <c r="K13" s="24">
        <f t="shared" si="4"/>
        <v>4885.828024678575</v>
      </c>
      <c r="L13" s="23"/>
    </row>
    <row r="14" spans="1:12" ht="12.75" outlineLevel="1">
      <c r="A14" s="7" t="s">
        <v>124</v>
      </c>
      <c r="B14" s="8" t="s">
        <v>125</v>
      </c>
      <c r="D14" s="4">
        <f t="shared" si="1"/>
        <v>0</v>
      </c>
      <c r="E14" s="3">
        <f>36</f>
        <v>36</v>
      </c>
      <c r="F14" s="4">
        <f t="shared" si="2"/>
        <v>0.07407407407407407</v>
      </c>
      <c r="G14" s="3">
        <f>72</f>
        <v>72</v>
      </c>
      <c r="H14" s="4">
        <f t="shared" si="3"/>
        <v>0.02070750647109577</v>
      </c>
      <c r="I14" s="10">
        <f t="shared" si="0"/>
        <v>0.031593860181723284</v>
      </c>
      <c r="J14" s="21"/>
      <c r="K14" s="24">
        <f t="shared" si="4"/>
        <v>2263.8037098818695</v>
      </c>
      <c r="L14" s="23"/>
    </row>
    <row r="15" spans="1:12" ht="12.75" outlineLevel="1">
      <c r="A15" s="7" t="s">
        <v>126</v>
      </c>
      <c r="B15" s="8" t="s">
        <v>127</v>
      </c>
      <c r="D15" s="4">
        <f t="shared" si="1"/>
        <v>0</v>
      </c>
      <c r="F15" s="4">
        <f t="shared" si="2"/>
        <v>0</v>
      </c>
      <c r="G15" s="3">
        <f>26</f>
        <v>26</v>
      </c>
      <c r="H15" s="4">
        <f t="shared" si="3"/>
        <v>0.007477710670117918</v>
      </c>
      <c r="I15" s="10">
        <f t="shared" si="0"/>
        <v>0.0024925702233726393</v>
      </c>
      <c r="J15" s="21"/>
      <c r="K15" s="24">
        <f t="shared" si="4"/>
        <v>178.60083213498226</v>
      </c>
      <c r="L15" s="23"/>
    </row>
    <row r="16" spans="1:12" ht="12.75" outlineLevel="1">
      <c r="A16" s="7" t="s">
        <v>128</v>
      </c>
      <c r="B16" s="8" t="s">
        <v>129</v>
      </c>
      <c r="D16" s="4">
        <f t="shared" si="1"/>
        <v>0</v>
      </c>
      <c r="F16" s="4">
        <f t="shared" si="2"/>
        <v>0</v>
      </c>
      <c r="G16" s="3">
        <f>11</f>
        <v>11</v>
      </c>
      <c r="H16" s="4">
        <f t="shared" si="3"/>
        <v>0.0031636468219729654</v>
      </c>
      <c r="I16" s="10">
        <f t="shared" si="0"/>
        <v>0.001054548940657655</v>
      </c>
      <c r="J16" s="21"/>
      <c r="K16" s="24">
        <f t="shared" si="4"/>
        <v>75.56189051864634</v>
      </c>
      <c r="L16" s="23"/>
    </row>
    <row r="17" spans="1:12" ht="12.75" outlineLevel="1">
      <c r="A17" s="7" t="s">
        <v>23</v>
      </c>
      <c r="B17" s="8" t="s">
        <v>130</v>
      </c>
      <c r="D17" s="4">
        <f t="shared" si="1"/>
        <v>0</v>
      </c>
      <c r="E17" s="3">
        <f>2</f>
        <v>2</v>
      </c>
      <c r="F17" s="4">
        <f t="shared" si="2"/>
        <v>0.00411522633744856</v>
      </c>
      <c r="G17" s="3">
        <f>109</f>
        <v>109</v>
      </c>
      <c r="H17" s="4">
        <f t="shared" si="3"/>
        <v>0.03134886396318665</v>
      </c>
      <c r="I17" s="10">
        <f t="shared" si="0"/>
        <v>0.011821363433545071</v>
      </c>
      <c r="J17" s="21"/>
      <c r="K17" s="24">
        <f t="shared" si="4"/>
        <v>847.0394640855664</v>
      </c>
      <c r="L17" s="23"/>
    </row>
    <row r="18" spans="1:12" ht="12.75" outlineLevel="1">
      <c r="A18" s="7" t="s">
        <v>131</v>
      </c>
      <c r="B18" s="8" t="s">
        <v>132</v>
      </c>
      <c r="C18" s="3">
        <f>78+25</f>
        <v>103</v>
      </c>
      <c r="D18" s="4">
        <f t="shared" si="1"/>
        <v>0.07</v>
      </c>
      <c r="E18" s="3">
        <f>20+11</f>
        <v>31</v>
      </c>
      <c r="F18" s="4">
        <f t="shared" si="2"/>
        <v>0.06378600823045268</v>
      </c>
      <c r="G18" s="3">
        <f>87</f>
        <v>87</v>
      </c>
      <c r="H18" s="4">
        <f t="shared" si="3"/>
        <v>0.025021570319240724</v>
      </c>
      <c r="I18" s="10">
        <f t="shared" si="0"/>
        <v>0.05293585951656447</v>
      </c>
      <c r="J18" s="21"/>
      <c r="K18" s="24">
        <f t="shared" si="4"/>
        <v>3793.0279639810583</v>
      </c>
      <c r="L18" s="23"/>
    </row>
    <row r="19" spans="1:12" ht="12.75" outlineLevel="1">
      <c r="A19" s="7" t="s">
        <v>133</v>
      </c>
      <c r="B19" s="8" t="s">
        <v>134</v>
      </c>
      <c r="C19" s="3">
        <f>13+23</f>
        <v>36</v>
      </c>
      <c r="D19" s="4">
        <f t="shared" si="1"/>
        <v>0.025</v>
      </c>
      <c r="E19" s="3">
        <f>10+10</f>
        <v>20</v>
      </c>
      <c r="F19" s="4">
        <f t="shared" si="2"/>
        <v>0.0411522633744856</v>
      </c>
      <c r="G19" s="3">
        <f>89</f>
        <v>89</v>
      </c>
      <c r="H19" s="4">
        <f t="shared" si="3"/>
        <v>0.02559677883232672</v>
      </c>
      <c r="I19" s="10">
        <f t="shared" si="0"/>
        <v>0.03058301406893744</v>
      </c>
      <c r="J19" s="21"/>
      <c r="K19" s="24">
        <f t="shared" si="4"/>
        <v>2191.3732703255137</v>
      </c>
      <c r="L19" s="23"/>
    </row>
    <row r="20" spans="1:12" ht="12.75" outlineLevel="1">
      <c r="A20" s="7" t="s">
        <v>135</v>
      </c>
      <c r="B20" s="8" t="s">
        <v>136</v>
      </c>
      <c r="C20" s="3">
        <f>57+94</f>
        <v>151</v>
      </c>
      <c r="D20" s="4">
        <f t="shared" si="1"/>
        <v>0.103</v>
      </c>
      <c r="E20" s="3">
        <f>3+8+13</f>
        <v>24</v>
      </c>
      <c r="F20" s="4">
        <f t="shared" si="2"/>
        <v>0.04938271604938271</v>
      </c>
      <c r="G20" s="3">
        <f>111</f>
        <v>111</v>
      </c>
      <c r="H20" s="4">
        <f t="shared" si="3"/>
        <v>0.03192407247627265</v>
      </c>
      <c r="I20" s="10">
        <f t="shared" si="0"/>
        <v>0.06143559617521845</v>
      </c>
      <c r="J20" s="21"/>
      <c r="K20" s="24">
        <f t="shared" si="4"/>
        <v>4402.061974709857</v>
      </c>
      <c r="L20" s="23"/>
    </row>
    <row r="21" spans="1:12" ht="12.75" outlineLevel="1">
      <c r="A21" s="7" t="s">
        <v>137</v>
      </c>
      <c r="B21" s="8" t="s">
        <v>138</v>
      </c>
      <c r="C21" s="3">
        <f>11</f>
        <v>11</v>
      </c>
      <c r="D21" s="4">
        <f t="shared" si="1"/>
        <v>0.008</v>
      </c>
      <c r="E21" s="3">
        <f>3+2+1+1+1+2+1+2+1+1</f>
        <v>15</v>
      </c>
      <c r="F21" s="4">
        <f t="shared" si="2"/>
        <v>0.030864197530864196</v>
      </c>
      <c r="G21" s="3">
        <f>12+29</f>
        <v>41</v>
      </c>
      <c r="H21" s="4">
        <f t="shared" si="3"/>
        <v>0.01179177451826287</v>
      </c>
      <c r="I21" s="10">
        <f t="shared" si="0"/>
        <v>0.01688532401637569</v>
      </c>
      <c r="J21" s="21"/>
      <c r="K21" s="24">
        <f t="shared" si="4"/>
        <v>1209.888849636092</v>
      </c>
      <c r="L21" s="23"/>
    </row>
    <row r="22" spans="1:12" ht="12.75" outlineLevel="1">
      <c r="A22" s="7" t="s">
        <v>139</v>
      </c>
      <c r="B22" s="8" t="s">
        <v>140</v>
      </c>
      <c r="C22" s="3">
        <f>2+60</f>
        <v>62</v>
      </c>
      <c r="D22" s="4">
        <f t="shared" si="1"/>
        <v>0.042</v>
      </c>
      <c r="E22" s="3">
        <f>16+2+1</f>
        <v>19</v>
      </c>
      <c r="F22" s="4">
        <f t="shared" si="2"/>
        <v>0.03909465020576132</v>
      </c>
      <c r="G22" s="3">
        <f>242</f>
        <v>242</v>
      </c>
      <c r="H22" s="4">
        <f t="shared" si="3"/>
        <v>0.06960023008340524</v>
      </c>
      <c r="I22" s="10">
        <f t="shared" si="0"/>
        <v>0.050231626763055516</v>
      </c>
      <c r="J22" s="21"/>
      <c r="K22" s="24">
        <f t="shared" si="4"/>
        <v>3599.2608173087106</v>
      </c>
      <c r="L22" s="23"/>
    </row>
    <row r="23" spans="1:12" ht="12.75" outlineLevel="1">
      <c r="A23" s="7" t="s">
        <v>141</v>
      </c>
      <c r="B23" s="8" t="s">
        <v>142</v>
      </c>
      <c r="C23" s="3">
        <f>67+85</f>
        <v>152</v>
      </c>
      <c r="D23" s="4">
        <f t="shared" si="1"/>
        <v>0.104</v>
      </c>
      <c r="E23" s="3">
        <f>1+3</f>
        <v>4</v>
      </c>
      <c r="F23" s="4">
        <f t="shared" si="2"/>
        <v>0.00823045267489712</v>
      </c>
      <c r="G23" s="3">
        <f>27</f>
        <v>27</v>
      </c>
      <c r="H23" s="4">
        <f t="shared" si="3"/>
        <v>0.007765314926660914</v>
      </c>
      <c r="I23" s="10">
        <f t="shared" si="0"/>
        <v>0.039998589200519345</v>
      </c>
      <c r="J23" s="21"/>
      <c r="K23" s="24">
        <f t="shared" si="4"/>
        <v>2866.0301115897887</v>
      </c>
      <c r="L23" s="23"/>
    </row>
    <row r="24" spans="1:12" ht="12.75" outlineLevel="1">
      <c r="A24" s="7" t="s">
        <v>143</v>
      </c>
      <c r="B24" s="8" t="s">
        <v>144</v>
      </c>
      <c r="C24" s="3">
        <f>17+52</f>
        <v>69</v>
      </c>
      <c r="D24" s="4">
        <f t="shared" si="1"/>
        <v>0.047</v>
      </c>
      <c r="E24" s="3">
        <f>2+3+2+3+2</f>
        <v>12</v>
      </c>
      <c r="F24" s="4">
        <f t="shared" si="2"/>
        <v>0.024691358024691357</v>
      </c>
      <c r="G24" s="3">
        <f>53</f>
        <v>53</v>
      </c>
      <c r="H24" s="4">
        <f t="shared" si="3"/>
        <v>0.015243025596778832</v>
      </c>
      <c r="I24" s="10">
        <f t="shared" si="0"/>
        <v>0.028978127873823395</v>
      </c>
      <c r="J24" s="21"/>
      <c r="K24" s="24">
        <f t="shared" si="4"/>
        <v>2076.3779104188725</v>
      </c>
      <c r="L24" s="23"/>
    </row>
    <row r="25" spans="1:12" ht="12.75" outlineLevel="1">
      <c r="A25" s="7" t="s">
        <v>145</v>
      </c>
      <c r="B25" s="8" t="s">
        <v>146</v>
      </c>
      <c r="D25" s="4">
        <f t="shared" si="1"/>
        <v>0</v>
      </c>
      <c r="E25" s="3">
        <f>12+2</f>
        <v>14</v>
      </c>
      <c r="F25" s="4">
        <f t="shared" si="2"/>
        <v>0.02880658436213992</v>
      </c>
      <c r="G25" s="3">
        <f>26</f>
        <v>26</v>
      </c>
      <c r="H25" s="4">
        <f t="shared" si="3"/>
        <v>0.007477710670117918</v>
      </c>
      <c r="I25" s="10">
        <f t="shared" si="0"/>
        <v>0.012094765010752613</v>
      </c>
      <c r="J25" s="21"/>
      <c r="K25" s="24">
        <f t="shared" si="4"/>
        <v>866.62958384966</v>
      </c>
      <c r="L25" s="23"/>
    </row>
    <row r="26" spans="1:12" ht="12.75" outlineLevel="1">
      <c r="A26" s="7" t="s">
        <v>147</v>
      </c>
      <c r="B26" s="8" t="s">
        <v>148</v>
      </c>
      <c r="C26" s="3">
        <f>31+38</f>
        <v>69</v>
      </c>
      <c r="D26" s="4">
        <f t="shared" si="1"/>
        <v>0.047</v>
      </c>
      <c r="E26" s="3">
        <f>3+2+2</f>
        <v>7</v>
      </c>
      <c r="F26" s="4">
        <f t="shared" si="2"/>
        <v>0.01440329218106996</v>
      </c>
      <c r="G26" s="3">
        <f>68</f>
        <v>68</v>
      </c>
      <c r="H26" s="4">
        <f t="shared" si="3"/>
        <v>0.019557089444923785</v>
      </c>
      <c r="I26" s="10">
        <f t="shared" si="0"/>
        <v>0.02698679387533125</v>
      </c>
      <c r="J26" s="21"/>
      <c r="K26" s="24">
        <f t="shared" si="4"/>
        <v>1933.692297851395</v>
      </c>
      <c r="L26" s="23"/>
    </row>
    <row r="27" spans="1:12" ht="12.75" outlineLevel="1">
      <c r="A27" s="7" t="s">
        <v>149</v>
      </c>
      <c r="B27" s="8" t="s">
        <v>150</v>
      </c>
      <c r="D27" s="4">
        <f t="shared" si="1"/>
        <v>0</v>
      </c>
      <c r="F27" s="4">
        <f t="shared" si="2"/>
        <v>0</v>
      </c>
      <c r="G27" s="3">
        <f>5</f>
        <v>5</v>
      </c>
      <c r="H27" s="4">
        <f t="shared" si="3"/>
        <v>0.0014380212827149843</v>
      </c>
      <c r="I27" s="10">
        <f t="shared" si="0"/>
        <v>0.00047934042757166143</v>
      </c>
      <c r="J27" s="21"/>
      <c r="K27" s="24">
        <f t="shared" si="4"/>
        <v>34.34631387211198</v>
      </c>
      <c r="L27" s="23"/>
    </row>
    <row r="28" spans="1:12" ht="12.75" outlineLevel="1">
      <c r="A28" s="7" t="s">
        <v>151</v>
      </c>
      <c r="B28" s="8" t="s">
        <v>152</v>
      </c>
      <c r="C28" s="3">
        <f>3</f>
        <v>3</v>
      </c>
      <c r="D28" s="4">
        <f t="shared" si="1"/>
        <v>0.002</v>
      </c>
      <c r="F28" s="4">
        <f t="shared" si="2"/>
        <v>0</v>
      </c>
      <c r="H28" s="4">
        <f t="shared" si="3"/>
        <v>0</v>
      </c>
      <c r="I28" s="10">
        <f t="shared" si="0"/>
        <v>0.0006666666666666666</v>
      </c>
      <c r="J28" s="21"/>
      <c r="K28" s="24">
        <f t="shared" si="4"/>
        <v>47.76885333333333</v>
      </c>
      <c r="L28" s="23"/>
    </row>
    <row r="29" spans="1:12" ht="12.75" outlineLevel="1">
      <c r="A29" s="7" t="s">
        <v>153</v>
      </c>
      <c r="B29" s="8" t="s">
        <v>154</v>
      </c>
      <c r="D29" s="4">
        <f t="shared" si="1"/>
        <v>0</v>
      </c>
      <c r="F29" s="4">
        <f t="shared" si="2"/>
        <v>0</v>
      </c>
      <c r="G29" s="3">
        <f>7</f>
        <v>7</v>
      </c>
      <c r="H29" s="4">
        <f t="shared" si="3"/>
        <v>0.0020132297958009777</v>
      </c>
      <c r="I29" s="10">
        <f t="shared" si="0"/>
        <v>0.0006710765986003259</v>
      </c>
      <c r="J29" s="21"/>
      <c r="K29" s="24">
        <f t="shared" si="4"/>
        <v>48.08483942095676</v>
      </c>
      <c r="L29" s="23"/>
    </row>
    <row r="30" spans="1:12" ht="12.75" outlineLevel="1">
      <c r="A30" s="7" t="s">
        <v>155</v>
      </c>
      <c r="B30" s="8" t="s">
        <v>156</v>
      </c>
      <c r="C30" s="3">
        <f>56+134</f>
        <v>190</v>
      </c>
      <c r="D30" s="4">
        <f t="shared" si="1"/>
        <v>0.13</v>
      </c>
      <c r="F30" s="4">
        <f t="shared" si="2"/>
        <v>0</v>
      </c>
      <c r="G30" s="3">
        <f>1560</f>
        <v>1560</v>
      </c>
      <c r="H30" s="4">
        <f t="shared" si="3"/>
        <v>0.4486626402070751</v>
      </c>
      <c r="I30" s="10">
        <f t="shared" si="0"/>
        <v>0.19288754673569172</v>
      </c>
      <c r="J30" s="21"/>
      <c r="K30" s="24">
        <f t="shared" si="4"/>
        <v>13821.025394765606</v>
      </c>
      <c r="L30" s="23"/>
    </row>
    <row r="31" spans="1:12" ht="12.75" outlineLevel="1">
      <c r="A31" s="7" t="s">
        <v>157</v>
      </c>
      <c r="B31" s="8" t="s">
        <v>158</v>
      </c>
      <c r="D31" s="4">
        <f t="shared" si="1"/>
        <v>0</v>
      </c>
      <c r="F31" s="4">
        <f t="shared" si="2"/>
        <v>0</v>
      </c>
      <c r="G31" s="3">
        <f>15</f>
        <v>15</v>
      </c>
      <c r="H31" s="4">
        <f t="shared" si="3"/>
        <v>0.004314063848144953</v>
      </c>
      <c r="I31" s="10">
        <f t="shared" si="0"/>
        <v>0.0014380212827149843</v>
      </c>
      <c r="J31" s="21"/>
      <c r="K31" s="24">
        <f t="shared" si="4"/>
        <v>103.03894161633593</v>
      </c>
      <c r="L31" s="23"/>
    </row>
    <row r="32" spans="1:12" ht="12.75" outlineLevel="1">
      <c r="A32" s="7" t="s">
        <v>159</v>
      </c>
      <c r="B32" s="8" t="s">
        <v>160</v>
      </c>
      <c r="D32" s="4">
        <f t="shared" si="1"/>
        <v>0</v>
      </c>
      <c r="F32" s="4">
        <f t="shared" si="2"/>
        <v>0</v>
      </c>
      <c r="G32" s="3">
        <f>1</f>
        <v>1</v>
      </c>
      <c r="H32" s="4">
        <f t="shared" si="3"/>
        <v>0.0002876042565429968</v>
      </c>
      <c r="I32" s="10">
        <f t="shared" si="0"/>
        <v>9.586808551433227E-05</v>
      </c>
      <c r="J32" s="21"/>
      <c r="K32" s="24">
        <f t="shared" si="4"/>
        <v>6.869262774422394</v>
      </c>
      <c r="L32" s="23"/>
    </row>
    <row r="33" spans="1:12" ht="12.75" outlineLevel="1">
      <c r="A33" s="7" t="s">
        <v>161</v>
      </c>
      <c r="B33" s="8" t="s">
        <v>162</v>
      </c>
      <c r="D33" s="4">
        <f t="shared" si="1"/>
        <v>0</v>
      </c>
      <c r="F33" s="4">
        <f t="shared" si="2"/>
        <v>0</v>
      </c>
      <c r="G33" s="3">
        <f>15</f>
        <v>15</v>
      </c>
      <c r="H33" s="4">
        <f t="shared" si="3"/>
        <v>0.004314063848144953</v>
      </c>
      <c r="I33" s="10">
        <f t="shared" si="0"/>
        <v>0.0014380212827149843</v>
      </c>
      <c r="J33" s="21"/>
      <c r="K33" s="24">
        <f t="shared" si="4"/>
        <v>103.03894161633593</v>
      </c>
      <c r="L33" s="23"/>
    </row>
    <row r="34" spans="1:12" ht="12.75" outlineLevel="1">
      <c r="A34" s="7" t="s">
        <v>163</v>
      </c>
      <c r="B34" s="8" t="s">
        <v>164</v>
      </c>
      <c r="C34" s="3">
        <f>65+84</f>
        <v>149</v>
      </c>
      <c r="D34" s="4">
        <f t="shared" si="1"/>
        <v>0.102</v>
      </c>
      <c r="E34" s="3">
        <f>7+1+4+3+4+2+4+2+2+4+5+2+1+4+1+4+2</f>
        <v>52</v>
      </c>
      <c r="F34" s="4">
        <f t="shared" si="2"/>
        <v>0.10699588477366255</v>
      </c>
      <c r="G34" s="3">
        <f>174</f>
        <v>174</v>
      </c>
      <c r="H34" s="4">
        <f t="shared" si="3"/>
        <v>0.05004314063848145</v>
      </c>
      <c r="I34" s="10">
        <f t="shared" si="0"/>
        <v>0.08634634180404799</v>
      </c>
      <c r="J34" s="21"/>
      <c r="K34" s="24">
        <f t="shared" si="4"/>
        <v>6186.998606261155</v>
      </c>
      <c r="L34" s="23"/>
    </row>
    <row r="35" spans="1:12" ht="12.75" outlineLevel="1">
      <c r="A35" s="7" t="s">
        <v>165</v>
      </c>
      <c r="B35" s="8" t="s">
        <v>166</v>
      </c>
      <c r="C35" s="3">
        <f>20+31</f>
        <v>51</v>
      </c>
      <c r="D35" s="4">
        <f t="shared" si="1"/>
        <v>0.035</v>
      </c>
      <c r="F35" s="4">
        <f t="shared" si="2"/>
        <v>0</v>
      </c>
      <c r="H35" s="4">
        <f t="shared" si="3"/>
        <v>0</v>
      </c>
      <c r="I35" s="10">
        <f t="shared" si="0"/>
        <v>0.011666666666666667</v>
      </c>
      <c r="J35" s="21"/>
      <c r="K35" s="24">
        <f t="shared" si="4"/>
        <v>835.9549333333333</v>
      </c>
      <c r="L35" s="23"/>
    </row>
    <row r="36" spans="1:12" ht="12.75" outlineLevel="1">
      <c r="A36" s="7" t="s">
        <v>167</v>
      </c>
      <c r="B36" s="8" t="s">
        <v>168</v>
      </c>
      <c r="D36" s="4">
        <f t="shared" si="1"/>
        <v>0</v>
      </c>
      <c r="E36" s="3">
        <f>5+4+5+4+5+4+4+4+4+3+4+4+4+3+4</f>
        <v>61</v>
      </c>
      <c r="F36" s="4">
        <f t="shared" si="2"/>
        <v>0.12551440329218108</v>
      </c>
      <c r="G36" s="3">
        <f>55</f>
        <v>55</v>
      </c>
      <c r="H36" s="4">
        <f t="shared" si="3"/>
        <v>0.015818234109864826</v>
      </c>
      <c r="I36" s="10">
        <f t="shared" si="0"/>
        <v>0.0471108791340153</v>
      </c>
      <c r="J36" s="21"/>
      <c r="K36" s="24">
        <f t="shared" si="4"/>
        <v>3375.6490136357556</v>
      </c>
      <c r="L36" s="23"/>
    </row>
    <row r="37" spans="1:12" ht="12.75" outlineLevel="1">
      <c r="A37" s="7" t="s">
        <v>169</v>
      </c>
      <c r="B37" s="8" t="s">
        <v>170</v>
      </c>
      <c r="C37" s="3">
        <f>60+18</f>
        <v>78</v>
      </c>
      <c r="D37" s="4">
        <f t="shared" si="1"/>
        <v>0.053</v>
      </c>
      <c r="E37" s="3">
        <f>20+20</f>
        <v>40</v>
      </c>
      <c r="F37" s="4">
        <f t="shared" si="2"/>
        <v>0.0823045267489712</v>
      </c>
      <c r="G37" s="3">
        <f>134</f>
        <v>134</v>
      </c>
      <c r="H37" s="4">
        <f t="shared" si="3"/>
        <v>0.03853897037676158</v>
      </c>
      <c r="I37" s="10">
        <f t="shared" si="0"/>
        <v>0.05794783237524426</v>
      </c>
      <c r="J37" s="21"/>
      <c r="K37" s="24">
        <f t="shared" si="4"/>
        <v>4152.152258576441</v>
      </c>
      <c r="L37" s="23"/>
    </row>
    <row r="38" spans="1:12" ht="12.75" outlineLevel="1">
      <c r="A38" s="7" t="s">
        <v>171</v>
      </c>
      <c r="B38" s="8" t="s">
        <v>172</v>
      </c>
      <c r="D38" s="4">
        <f t="shared" si="1"/>
        <v>0</v>
      </c>
      <c r="E38" s="3">
        <f>2+1</f>
        <v>3</v>
      </c>
      <c r="F38" s="4">
        <f t="shared" si="2"/>
        <v>0.006172839506172839</v>
      </c>
      <c r="G38" s="3">
        <f>10</f>
        <v>10</v>
      </c>
      <c r="H38" s="4">
        <f t="shared" si="3"/>
        <v>0.0028760425654299686</v>
      </c>
      <c r="I38" s="10">
        <f t="shared" si="0"/>
        <v>0.003016294023867603</v>
      </c>
      <c r="J38" s="21"/>
      <c r="K38" s="24">
        <f t="shared" si="4"/>
        <v>216.12736025451204</v>
      </c>
      <c r="L38" s="23"/>
    </row>
    <row r="39" spans="1:12" ht="12.75" outlineLevel="1">
      <c r="A39" s="7" t="s">
        <v>574</v>
      </c>
      <c r="B39" s="8" t="s">
        <v>575</v>
      </c>
      <c r="D39" s="4">
        <f t="shared" si="1"/>
        <v>0</v>
      </c>
      <c r="F39" s="4">
        <f t="shared" si="2"/>
        <v>0</v>
      </c>
      <c r="G39" s="3">
        <f>68</f>
        <v>68</v>
      </c>
      <c r="H39" s="4">
        <f t="shared" si="3"/>
        <v>0.019557089444923785</v>
      </c>
      <c r="I39" s="10">
        <f t="shared" si="0"/>
        <v>0.006519029814974595</v>
      </c>
      <c r="J39" s="21"/>
      <c r="K39" s="24">
        <f t="shared" si="4"/>
        <v>467.10986866072284</v>
      </c>
      <c r="L39" s="23"/>
    </row>
    <row r="40" spans="1:12" ht="12.75" outlineLevel="1">
      <c r="A40" s="7" t="s">
        <v>590</v>
      </c>
      <c r="B40" s="8" t="s">
        <v>591</v>
      </c>
      <c r="D40" s="4">
        <f t="shared" si="1"/>
        <v>0</v>
      </c>
      <c r="E40" s="3">
        <f>6</f>
        <v>6</v>
      </c>
      <c r="F40" s="4">
        <f t="shared" si="2"/>
        <v>0.012345679012345678</v>
      </c>
      <c r="G40" s="3">
        <f>9</f>
        <v>9</v>
      </c>
      <c r="H40" s="4">
        <f t="shared" si="3"/>
        <v>0.0025884383088869713</v>
      </c>
      <c r="I40" s="10">
        <f t="shared" si="0"/>
        <v>0.00497803910707755</v>
      </c>
      <c r="J40" s="21"/>
      <c r="K40" s="24">
        <f t="shared" si="4"/>
        <v>356.6928299903777</v>
      </c>
      <c r="L40" s="23"/>
    </row>
    <row r="41" spans="1:12" ht="12.75" outlineLevel="1">
      <c r="A41" s="7" t="s">
        <v>173</v>
      </c>
      <c r="B41" s="8" t="s">
        <v>174</v>
      </c>
      <c r="C41" s="3">
        <f>1</f>
        <v>1</v>
      </c>
      <c r="D41" s="4">
        <f t="shared" si="1"/>
        <v>0.001</v>
      </c>
      <c r="F41" s="4">
        <f t="shared" si="2"/>
        <v>0</v>
      </c>
      <c r="G41" s="3">
        <f>4</f>
        <v>4</v>
      </c>
      <c r="H41" s="4">
        <f t="shared" si="3"/>
        <v>0.0011504170261719873</v>
      </c>
      <c r="I41" s="10">
        <f t="shared" si="0"/>
        <v>0.0007168056753906624</v>
      </c>
      <c r="J41" s="21"/>
      <c r="K41" s="24">
        <f t="shared" si="4"/>
        <v>51.36147776435624</v>
      </c>
      <c r="L41" s="23"/>
    </row>
    <row r="42" spans="1:12" ht="12.75" outlineLevel="1">
      <c r="A42" s="7" t="s">
        <v>554</v>
      </c>
      <c r="B42" s="8" t="s">
        <v>555</v>
      </c>
      <c r="D42" s="4">
        <f t="shared" si="1"/>
        <v>0</v>
      </c>
      <c r="F42" s="4">
        <f t="shared" si="2"/>
        <v>0</v>
      </c>
      <c r="G42" s="3">
        <f>3</f>
        <v>3</v>
      </c>
      <c r="H42" s="4">
        <f t="shared" si="3"/>
        <v>0.0008628127696289905</v>
      </c>
      <c r="I42" s="10">
        <f t="shared" si="0"/>
        <v>0.00028760425654299687</v>
      </c>
      <c r="J42" s="21"/>
      <c r="K42" s="24">
        <f t="shared" si="4"/>
        <v>20.607788323267187</v>
      </c>
      <c r="L42" s="23"/>
    </row>
    <row r="43" spans="1:12" ht="12.75" outlineLevel="1">
      <c r="A43" s="7" t="s">
        <v>175</v>
      </c>
      <c r="B43" s="8" t="s">
        <v>176</v>
      </c>
      <c r="C43" s="3">
        <f>35+70</f>
        <v>105</v>
      </c>
      <c r="D43" s="4">
        <f t="shared" si="1"/>
        <v>0.072</v>
      </c>
      <c r="E43" s="3">
        <f>12</f>
        <v>12</v>
      </c>
      <c r="F43" s="4">
        <f t="shared" si="2"/>
        <v>0.024691358024691357</v>
      </c>
      <c r="G43" s="3">
        <f>157</f>
        <v>157</v>
      </c>
      <c r="H43" s="4">
        <f t="shared" si="3"/>
        <v>0.0451538682772505</v>
      </c>
      <c r="I43" s="10">
        <f t="shared" si="0"/>
        <v>0.047281742100647284</v>
      </c>
      <c r="J43" s="21"/>
      <c r="K43" s="24">
        <f t="shared" si="4"/>
        <v>3387.891905625468</v>
      </c>
      <c r="L43" s="23"/>
    </row>
    <row r="44" spans="1:12" ht="12.75" outlineLevel="1">
      <c r="A44" s="7" t="s">
        <v>177</v>
      </c>
      <c r="B44" s="8" t="s">
        <v>178</v>
      </c>
      <c r="D44" s="4">
        <f t="shared" si="1"/>
        <v>0</v>
      </c>
      <c r="F44" s="4">
        <f t="shared" si="2"/>
        <v>0</v>
      </c>
      <c r="G44" s="3">
        <f>9</f>
        <v>9</v>
      </c>
      <c r="H44" s="4">
        <f t="shared" si="3"/>
        <v>0.0025884383088869713</v>
      </c>
      <c r="I44" s="10">
        <f t="shared" si="0"/>
        <v>0.0008628127696289904</v>
      </c>
      <c r="J44" s="21"/>
      <c r="K44" s="24">
        <f t="shared" si="4"/>
        <v>61.823364969801545</v>
      </c>
      <c r="L44" s="23"/>
    </row>
    <row r="45" spans="1:12" ht="12.75" outlineLevel="1">
      <c r="A45" s="7" t="s">
        <v>599</v>
      </c>
      <c r="B45" s="8" t="s">
        <v>600</v>
      </c>
      <c r="C45" s="3">
        <f>1</f>
        <v>1</v>
      </c>
      <c r="D45" s="4">
        <f t="shared" si="1"/>
        <v>0.001</v>
      </c>
      <c r="F45" s="4">
        <f t="shared" si="2"/>
        <v>0</v>
      </c>
      <c r="H45" s="4">
        <f t="shared" si="3"/>
        <v>0</v>
      </c>
      <c r="I45" s="10">
        <f t="shared" si="0"/>
        <v>0.0003333333333333333</v>
      </c>
      <c r="J45" s="21"/>
      <c r="K45" s="24">
        <f t="shared" si="4"/>
        <v>23.884426666666666</v>
      </c>
      <c r="L45" s="23"/>
    </row>
    <row r="46" spans="1:12" ht="13.5" thickBot="1">
      <c r="A46" s="14" t="s">
        <v>179</v>
      </c>
      <c r="B46" s="17"/>
      <c r="C46" s="1">
        <f>SUM(C7:C44)</f>
        <v>1462</v>
      </c>
      <c r="D46" s="15">
        <f>SUM(D7:D45)</f>
        <v>1</v>
      </c>
      <c r="E46" s="1">
        <f>SUM(E7:E44)</f>
        <v>486</v>
      </c>
      <c r="F46" s="15">
        <f>SUM(F7:F45)</f>
        <v>0.9999999999999999</v>
      </c>
      <c r="G46" s="1">
        <f>SUM(G7:G44)</f>
        <v>3477</v>
      </c>
      <c r="H46" s="15">
        <f>SUM(H7:H45)</f>
        <v>1</v>
      </c>
      <c r="I46" s="10">
        <f t="shared" si="0"/>
        <v>1</v>
      </c>
      <c r="J46" s="25"/>
      <c r="K46" s="26">
        <f>'FY11 to FY10 Comparison'!K10:L10</f>
        <v>71653.28</v>
      </c>
      <c r="L46" s="27"/>
    </row>
    <row r="48" ht="12.75">
      <c r="K48" s="80">
        <f>SUM(K7:K45)</f>
        <v>71653.28000000001</v>
      </c>
    </row>
  </sheetData>
  <mergeCells count="2">
    <mergeCell ref="J3:L4"/>
    <mergeCell ref="J5:L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pane xSplit="1" ySplit="5" topLeftCell="J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Row="1"/>
  <cols>
    <col min="1" max="1" width="47.57421875" style="7" bestFit="1" customWidth="1"/>
    <col min="2" max="2" width="8.14062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584</v>
      </c>
      <c r="B2" s="2"/>
    </row>
    <row r="3" spans="7:12" ht="12.75">
      <c r="G3" s="3" t="s">
        <v>585</v>
      </c>
      <c r="J3" s="133" t="s">
        <v>1</v>
      </c>
      <c r="K3" s="134"/>
      <c r="L3" s="135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6"/>
      <c r="K4" s="137"/>
      <c r="L4" s="138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39" t="s">
        <v>610</v>
      </c>
      <c r="K5" s="140"/>
      <c r="L5" s="141"/>
    </row>
    <row r="6" spans="1:12" ht="12.75">
      <c r="A6" s="1" t="s">
        <v>180</v>
      </c>
      <c r="B6" s="2"/>
      <c r="J6" s="21"/>
      <c r="K6" s="24"/>
      <c r="L6" s="23"/>
    </row>
    <row r="7" spans="1:12" ht="12.75" outlineLevel="1">
      <c r="A7" s="3" t="s">
        <v>181</v>
      </c>
      <c r="B7" s="18" t="s">
        <v>182</v>
      </c>
      <c r="C7" s="3">
        <f>3+455</f>
        <v>458</v>
      </c>
      <c r="D7" s="4">
        <f>C7/$C$52</f>
        <v>0.2850031113876789</v>
      </c>
      <c r="E7" s="3">
        <f>78+69+15+26</f>
        <v>188</v>
      </c>
      <c r="F7" s="4">
        <f>E7/$E$52</f>
        <v>0.20434782608695654</v>
      </c>
      <c r="G7" s="3">
        <f>748</f>
        <v>748</v>
      </c>
      <c r="H7" s="4">
        <f>G7/$G$52</f>
        <v>0.10873673499055095</v>
      </c>
      <c r="I7" s="10">
        <f aca="true" t="shared" si="0" ref="I7:I52">+(D7+F7+H7)/3</f>
        <v>0.19936255748839546</v>
      </c>
      <c r="J7" s="21"/>
      <c r="K7" s="24">
        <f>$K$52*I7</f>
        <v>23075.739552769377</v>
      </c>
      <c r="L7" s="23"/>
    </row>
    <row r="8" spans="1:12" ht="12.75" outlineLevel="1">
      <c r="A8" s="3" t="s">
        <v>183</v>
      </c>
      <c r="B8" s="18" t="s">
        <v>184</v>
      </c>
      <c r="C8" s="3">
        <f>8+19</f>
        <v>27</v>
      </c>
      <c r="D8" s="4">
        <f aca="true" t="shared" si="1" ref="D8:D51">C8/$C$52</f>
        <v>0.016801493466085875</v>
      </c>
      <c r="E8" s="3">
        <f>16+2</f>
        <v>18</v>
      </c>
      <c r="F8" s="4">
        <f aca="true" t="shared" si="2" ref="F8:F51">E8/$E$52</f>
        <v>0.01956521739130435</v>
      </c>
      <c r="G8" s="3">
        <f>112</f>
        <v>112</v>
      </c>
      <c r="H8" s="4">
        <f aca="true" t="shared" si="3" ref="H8:H51">G8/$G$52</f>
        <v>0.016281436255269663</v>
      </c>
      <c r="I8" s="10">
        <f t="shared" si="0"/>
        <v>0.01754938237088663</v>
      </c>
      <c r="J8" s="21"/>
      <c r="K8" s="24">
        <f aca="true" t="shared" si="4" ref="K8:K51">$K$52*I8</f>
        <v>2031.2990664062609</v>
      </c>
      <c r="L8" s="23"/>
    </row>
    <row r="9" spans="1:12" ht="12.75" outlineLevel="1">
      <c r="A9" s="3" t="s">
        <v>185</v>
      </c>
      <c r="B9" s="18" t="s">
        <v>186</v>
      </c>
      <c r="D9" s="4">
        <f t="shared" si="1"/>
        <v>0</v>
      </c>
      <c r="E9" s="3">
        <f>16+1</f>
        <v>17</v>
      </c>
      <c r="F9" s="4">
        <f t="shared" si="2"/>
        <v>0.01847826086956522</v>
      </c>
      <c r="G9" s="3">
        <f>111</f>
        <v>111</v>
      </c>
      <c r="H9" s="4">
        <f t="shared" si="3"/>
        <v>0.016136066288704752</v>
      </c>
      <c r="I9" s="10">
        <f t="shared" si="0"/>
        <v>0.011538109052756656</v>
      </c>
      <c r="J9" s="21"/>
      <c r="K9" s="24">
        <f t="shared" si="4"/>
        <v>1335.5085467759468</v>
      </c>
      <c r="L9" s="23"/>
    </row>
    <row r="10" spans="1:12" ht="12.75" outlineLevel="1">
      <c r="A10" s="3" t="s">
        <v>187</v>
      </c>
      <c r="B10" s="18" t="s">
        <v>188</v>
      </c>
      <c r="C10" s="3">
        <f>18+131</f>
        <v>149</v>
      </c>
      <c r="D10" s="4">
        <f t="shared" si="1"/>
        <v>0.09271935283136279</v>
      </c>
      <c r="F10" s="4">
        <f t="shared" si="2"/>
        <v>0</v>
      </c>
      <c r="G10" s="3">
        <f>4</f>
        <v>4</v>
      </c>
      <c r="H10" s="4">
        <f t="shared" si="3"/>
        <v>0.0005814798662596307</v>
      </c>
      <c r="I10" s="10">
        <f t="shared" si="0"/>
        <v>0.03110027756587414</v>
      </c>
      <c r="J10" s="21"/>
      <c r="K10" s="24">
        <f t="shared" si="4"/>
        <v>3599.7827985865492</v>
      </c>
      <c r="L10" s="23"/>
    </row>
    <row r="11" spans="1:12" ht="12.75" outlineLevel="1">
      <c r="A11" s="3" t="s">
        <v>189</v>
      </c>
      <c r="B11" s="18" t="s">
        <v>190</v>
      </c>
      <c r="C11" s="3">
        <f>1+2</f>
        <v>3</v>
      </c>
      <c r="D11" s="4">
        <f t="shared" si="1"/>
        <v>0.001866832607342875</v>
      </c>
      <c r="E11" s="3">
        <f>1+1</f>
        <v>2</v>
      </c>
      <c r="F11" s="4">
        <f t="shared" si="2"/>
        <v>0.002173913043478261</v>
      </c>
      <c r="G11" s="3">
        <f>42</f>
        <v>42</v>
      </c>
      <c r="H11" s="4">
        <f t="shared" si="3"/>
        <v>0.006105538595726123</v>
      </c>
      <c r="I11" s="10">
        <f t="shared" si="0"/>
        <v>0.003382094748849086</v>
      </c>
      <c r="J11" s="21"/>
      <c r="K11" s="24">
        <f t="shared" si="4"/>
        <v>391.46938397283196</v>
      </c>
      <c r="L11" s="23"/>
    </row>
    <row r="12" spans="1:12" ht="12.75" outlineLevel="1">
      <c r="A12" s="3" t="s">
        <v>191</v>
      </c>
      <c r="B12" s="18" t="s">
        <v>192</v>
      </c>
      <c r="C12" s="3">
        <f>24+5+27</f>
        <v>56</v>
      </c>
      <c r="D12" s="4">
        <f t="shared" si="1"/>
        <v>0.03484754200373367</v>
      </c>
      <c r="E12" s="3">
        <f>12+8+1</f>
        <v>21</v>
      </c>
      <c r="F12" s="4">
        <f t="shared" si="2"/>
        <v>0.02282608695652174</v>
      </c>
      <c r="G12" s="3">
        <f>155</f>
        <v>155</v>
      </c>
      <c r="H12" s="4">
        <f t="shared" si="3"/>
        <v>0.022532344817560692</v>
      </c>
      <c r="I12" s="10">
        <f t="shared" si="0"/>
        <v>0.02673532459260537</v>
      </c>
      <c r="J12" s="21"/>
      <c r="K12" s="24">
        <f t="shared" si="4"/>
        <v>3094.549924168295</v>
      </c>
      <c r="L12" s="23"/>
    </row>
    <row r="13" spans="1:12" ht="12.75" outlineLevel="1">
      <c r="A13" s="3" t="s">
        <v>193</v>
      </c>
      <c r="B13" s="18" t="s">
        <v>194</v>
      </c>
      <c r="C13" s="3">
        <f>5+5</f>
        <v>10</v>
      </c>
      <c r="D13" s="4">
        <f t="shared" si="1"/>
        <v>0.006222775357809583</v>
      </c>
      <c r="E13" s="3">
        <f>5+4+2+7+7+10+1+1+1+1+3+1+2+1+1+2+1+1+4+1+1+1+1+1+1+1+3+3+3+1+1+1+1+1+1+16+1+1+1+8+1+1+1+1+1+1+1+1+1+1+1+1</f>
        <v>116</v>
      </c>
      <c r="F13" s="4">
        <f t="shared" si="2"/>
        <v>0.12608695652173912</v>
      </c>
      <c r="G13" s="3">
        <f>202+228</f>
        <v>430</v>
      </c>
      <c r="H13" s="4">
        <f t="shared" si="3"/>
        <v>0.06250908562291031</v>
      </c>
      <c r="I13" s="10">
        <f t="shared" si="0"/>
        <v>0.064939605834153</v>
      </c>
      <c r="J13" s="21"/>
      <c r="K13" s="24">
        <f t="shared" si="4"/>
        <v>7516.604169645266</v>
      </c>
      <c r="L13" s="23"/>
    </row>
    <row r="14" spans="1:12" ht="12.75" outlineLevel="1">
      <c r="A14" s="3" t="s">
        <v>195</v>
      </c>
      <c r="B14" s="18" t="s">
        <v>196</v>
      </c>
      <c r="C14" s="3">
        <f>3+5</f>
        <v>8</v>
      </c>
      <c r="D14" s="4">
        <f t="shared" si="1"/>
        <v>0.004978220286247666</v>
      </c>
      <c r="E14" s="3">
        <f>9+1</f>
        <v>10</v>
      </c>
      <c r="F14" s="4">
        <f t="shared" si="2"/>
        <v>0.010869565217391304</v>
      </c>
      <c r="G14" s="3">
        <f>91</f>
        <v>91</v>
      </c>
      <c r="H14" s="4">
        <f t="shared" si="3"/>
        <v>0.0132286669574066</v>
      </c>
      <c r="I14" s="10">
        <f t="shared" si="0"/>
        <v>0.009692150820348524</v>
      </c>
      <c r="J14" s="21"/>
      <c r="K14" s="24">
        <f t="shared" si="4"/>
        <v>1121.843293214881</v>
      </c>
      <c r="L14" s="23"/>
    </row>
    <row r="15" spans="1:12" ht="12.75" outlineLevel="1">
      <c r="A15" s="3" t="s">
        <v>197</v>
      </c>
      <c r="B15" s="18" t="s">
        <v>198</v>
      </c>
      <c r="D15" s="4">
        <f t="shared" si="1"/>
        <v>0</v>
      </c>
      <c r="F15" s="4">
        <f t="shared" si="2"/>
        <v>0</v>
      </c>
      <c r="G15" s="3">
        <f>248</f>
        <v>248</v>
      </c>
      <c r="H15" s="4">
        <f t="shared" si="3"/>
        <v>0.03605175170809711</v>
      </c>
      <c r="I15" s="10">
        <f t="shared" si="0"/>
        <v>0.012017250569365702</v>
      </c>
      <c r="J15" s="21"/>
      <c r="K15" s="24">
        <f t="shared" si="4"/>
        <v>1390.9680321752194</v>
      </c>
      <c r="L15" s="23"/>
    </row>
    <row r="16" spans="1:12" ht="12" customHeight="1" outlineLevel="1">
      <c r="A16" s="3" t="s">
        <v>85</v>
      </c>
      <c r="B16" s="18" t="s">
        <v>199</v>
      </c>
      <c r="D16" s="4">
        <f t="shared" si="1"/>
        <v>0</v>
      </c>
      <c r="E16" s="3">
        <f>4+1+10+1+22</f>
        <v>38</v>
      </c>
      <c r="F16" s="4">
        <f t="shared" si="2"/>
        <v>0.041304347826086954</v>
      </c>
      <c r="G16" s="3">
        <f>168</f>
        <v>168</v>
      </c>
      <c r="H16" s="4">
        <f t="shared" si="3"/>
        <v>0.02442215438290449</v>
      </c>
      <c r="I16" s="10">
        <f t="shared" si="0"/>
        <v>0.021908834069663815</v>
      </c>
      <c r="J16" s="21"/>
      <c r="K16" s="24">
        <f t="shared" si="4"/>
        <v>2535.89518145016</v>
      </c>
      <c r="L16" s="23"/>
    </row>
    <row r="17" spans="1:12" ht="12" customHeight="1" outlineLevel="1">
      <c r="A17" s="3" t="s">
        <v>200</v>
      </c>
      <c r="B17" s="18" t="s">
        <v>201</v>
      </c>
      <c r="C17" s="19"/>
      <c r="D17" s="4">
        <f t="shared" si="1"/>
        <v>0</v>
      </c>
      <c r="E17" s="19"/>
      <c r="F17" s="4">
        <f t="shared" si="2"/>
        <v>0</v>
      </c>
      <c r="G17" s="3">
        <f>4</f>
        <v>4</v>
      </c>
      <c r="H17" s="4">
        <f t="shared" si="3"/>
        <v>0.0005814798662596307</v>
      </c>
      <c r="I17" s="10">
        <f t="shared" si="0"/>
        <v>0.00019382662208654357</v>
      </c>
      <c r="J17" s="21"/>
      <c r="K17" s="24">
        <f t="shared" si="4"/>
        <v>22.43496826089063</v>
      </c>
      <c r="L17" s="23"/>
    </row>
    <row r="18" spans="1:12" ht="12" customHeight="1" outlineLevel="1">
      <c r="A18" s="3" t="s">
        <v>202</v>
      </c>
      <c r="B18" s="18" t="s">
        <v>203</v>
      </c>
      <c r="C18" s="3">
        <f>1+1</f>
        <v>2</v>
      </c>
      <c r="D18" s="4">
        <f t="shared" si="1"/>
        <v>0.0012445550715619166</v>
      </c>
      <c r="E18" s="3">
        <f>2+1+1</f>
        <v>4</v>
      </c>
      <c r="F18" s="4">
        <f t="shared" si="2"/>
        <v>0.004347826086956522</v>
      </c>
      <c r="G18" s="3">
        <f>17</f>
        <v>17</v>
      </c>
      <c r="H18" s="4">
        <f t="shared" si="3"/>
        <v>0.0024712894316034307</v>
      </c>
      <c r="I18" s="10">
        <f t="shared" si="0"/>
        <v>0.00268789019670729</v>
      </c>
      <c r="J18" s="21"/>
      <c r="K18" s="24">
        <f t="shared" si="4"/>
        <v>311.11686621129866</v>
      </c>
      <c r="L18" s="23"/>
    </row>
    <row r="19" spans="1:12" ht="12.75" outlineLevel="1">
      <c r="A19" s="3" t="s">
        <v>204</v>
      </c>
      <c r="B19" s="18" t="s">
        <v>205</v>
      </c>
      <c r="D19" s="4">
        <f t="shared" si="1"/>
        <v>0</v>
      </c>
      <c r="E19" s="3">
        <f>1</f>
        <v>1</v>
      </c>
      <c r="F19" s="4">
        <f t="shared" si="2"/>
        <v>0.0010869565217391304</v>
      </c>
      <c r="G19" s="3">
        <f>3</f>
        <v>3</v>
      </c>
      <c r="H19" s="4">
        <f t="shared" si="3"/>
        <v>0.0004361098996947231</v>
      </c>
      <c r="I19" s="10">
        <f t="shared" si="0"/>
        <v>0.0005076888071446178</v>
      </c>
      <c r="J19" s="21"/>
      <c r="K19" s="24">
        <f t="shared" si="4"/>
        <v>58.763766050740436</v>
      </c>
      <c r="L19" s="23"/>
    </row>
    <row r="20" spans="1:12" ht="12.75" outlineLevel="1">
      <c r="A20" s="3" t="s">
        <v>206</v>
      </c>
      <c r="B20" s="18" t="s">
        <v>207</v>
      </c>
      <c r="C20" s="3">
        <f>3+344</f>
        <v>347</v>
      </c>
      <c r="D20" s="4">
        <f t="shared" si="1"/>
        <v>0.21593030491599252</v>
      </c>
      <c r="E20" s="3">
        <f>3+1</f>
        <v>4</v>
      </c>
      <c r="F20" s="4">
        <f t="shared" si="2"/>
        <v>0.004347826086956522</v>
      </c>
      <c r="G20" s="3">
        <f>1118</f>
        <v>1118</v>
      </c>
      <c r="H20" s="4">
        <f t="shared" si="3"/>
        <v>0.1625236226195668</v>
      </c>
      <c r="I20" s="10">
        <f t="shared" si="0"/>
        <v>0.1276005845408386</v>
      </c>
      <c r="J20" s="21"/>
      <c r="K20" s="24">
        <f t="shared" si="4"/>
        <v>14769.462695205017</v>
      </c>
      <c r="L20" s="23"/>
    </row>
    <row r="21" spans="1:12" ht="12.75" outlineLevel="1">
      <c r="A21" s="3" t="s">
        <v>208</v>
      </c>
      <c r="B21" s="18" t="s">
        <v>209</v>
      </c>
      <c r="D21" s="4">
        <f t="shared" si="1"/>
        <v>0</v>
      </c>
      <c r="F21" s="4">
        <f t="shared" si="2"/>
        <v>0</v>
      </c>
      <c r="G21" s="3">
        <f>94</f>
        <v>94</v>
      </c>
      <c r="H21" s="4">
        <f t="shared" si="3"/>
        <v>0.013664776857101322</v>
      </c>
      <c r="I21" s="10">
        <f t="shared" si="0"/>
        <v>0.004554925619033774</v>
      </c>
      <c r="J21" s="21"/>
      <c r="K21" s="24">
        <f t="shared" si="4"/>
        <v>527.2217541309299</v>
      </c>
      <c r="L21" s="23"/>
    </row>
    <row r="22" spans="1:12" ht="12.75" outlineLevel="1">
      <c r="A22" s="3" t="s">
        <v>210</v>
      </c>
      <c r="B22" s="18" t="s">
        <v>211</v>
      </c>
      <c r="C22" s="3">
        <f>6+9</f>
        <v>15</v>
      </c>
      <c r="D22" s="4">
        <f t="shared" si="1"/>
        <v>0.009334163036714374</v>
      </c>
      <c r="E22" s="3">
        <f>1+3+1+9+2+1+11+14+5+11+1+1+1+4</f>
        <v>65</v>
      </c>
      <c r="F22" s="4">
        <f t="shared" si="2"/>
        <v>0.07065217391304347</v>
      </c>
      <c r="G22" s="3">
        <f>212</f>
        <v>212</v>
      </c>
      <c r="H22" s="4">
        <f t="shared" si="3"/>
        <v>0.03081843291176043</v>
      </c>
      <c r="I22" s="10">
        <f t="shared" si="0"/>
        <v>0.03693492328717276</v>
      </c>
      <c r="J22" s="21"/>
      <c r="K22" s="24">
        <f t="shared" si="4"/>
        <v>4275.12909602359</v>
      </c>
      <c r="L22" s="23"/>
    </row>
    <row r="23" spans="1:12" ht="12.75" outlineLevel="1">
      <c r="A23" s="3" t="s">
        <v>212</v>
      </c>
      <c r="B23" s="18" t="s">
        <v>213</v>
      </c>
      <c r="D23" s="4">
        <f t="shared" si="1"/>
        <v>0</v>
      </c>
      <c r="F23" s="4">
        <f t="shared" si="2"/>
        <v>0</v>
      </c>
      <c r="G23" s="3">
        <f>14</f>
        <v>14</v>
      </c>
      <c r="H23" s="4">
        <f t="shared" si="3"/>
        <v>0.002035179531908708</v>
      </c>
      <c r="I23" s="10">
        <f t="shared" si="0"/>
        <v>0.0006783931773029026</v>
      </c>
      <c r="J23" s="21"/>
      <c r="K23" s="24">
        <f t="shared" si="4"/>
        <v>78.52238891311723</v>
      </c>
      <c r="L23" s="23"/>
    </row>
    <row r="24" spans="1:12" ht="12" customHeight="1" outlineLevel="1">
      <c r="A24" s="3" t="s">
        <v>214</v>
      </c>
      <c r="B24" s="18" t="s">
        <v>215</v>
      </c>
      <c r="D24" s="4">
        <f t="shared" si="1"/>
        <v>0</v>
      </c>
      <c r="E24" s="3">
        <f>1</f>
        <v>1</v>
      </c>
      <c r="F24" s="4">
        <f t="shared" si="2"/>
        <v>0.0010869565217391304</v>
      </c>
      <c r="G24" s="3">
        <f>101</f>
        <v>101</v>
      </c>
      <c r="H24" s="4">
        <f t="shared" si="3"/>
        <v>0.014682366623055677</v>
      </c>
      <c r="I24" s="10">
        <f t="shared" si="0"/>
        <v>0.005256441048264935</v>
      </c>
      <c r="J24" s="21"/>
      <c r="K24" s="24">
        <f t="shared" si="4"/>
        <v>608.4204884425609</v>
      </c>
      <c r="L24" s="23"/>
    </row>
    <row r="25" spans="1:12" ht="12.75" outlineLevel="1">
      <c r="A25" s="3" t="s">
        <v>216</v>
      </c>
      <c r="B25" s="18" t="s">
        <v>217</v>
      </c>
      <c r="D25" s="4">
        <f t="shared" si="1"/>
        <v>0</v>
      </c>
      <c r="E25" s="3">
        <f>10</f>
        <v>10</v>
      </c>
      <c r="F25" s="4">
        <f t="shared" si="2"/>
        <v>0.010869565217391304</v>
      </c>
      <c r="G25" s="3">
        <f>38</f>
        <v>38</v>
      </c>
      <c r="H25" s="4">
        <f t="shared" si="3"/>
        <v>0.0055240587294664925</v>
      </c>
      <c r="I25" s="10">
        <f t="shared" si="0"/>
        <v>0.005464541315619266</v>
      </c>
      <c r="J25" s="21"/>
      <c r="K25" s="24">
        <f t="shared" si="4"/>
        <v>632.5075970291857</v>
      </c>
      <c r="L25" s="23"/>
    </row>
    <row r="26" spans="1:12" ht="12.75" outlineLevel="1">
      <c r="A26" s="3" t="s">
        <v>218</v>
      </c>
      <c r="B26" s="18" t="s">
        <v>219</v>
      </c>
      <c r="D26" s="4">
        <f t="shared" si="1"/>
        <v>0</v>
      </c>
      <c r="E26" s="3">
        <f>6</f>
        <v>6</v>
      </c>
      <c r="F26" s="4">
        <f t="shared" si="2"/>
        <v>0.006521739130434782</v>
      </c>
      <c r="G26" s="3">
        <f>34</f>
        <v>34</v>
      </c>
      <c r="H26" s="4">
        <f t="shared" si="3"/>
        <v>0.0049425788632068614</v>
      </c>
      <c r="I26" s="10">
        <f t="shared" si="0"/>
        <v>0.003821439331213881</v>
      </c>
      <c r="J26" s="21"/>
      <c r="K26" s="24">
        <f t="shared" si="4"/>
        <v>442.3224693480051</v>
      </c>
      <c r="L26" s="23"/>
    </row>
    <row r="27" spans="1:12" ht="12.75" outlineLevel="1">
      <c r="A27" s="7" t="s">
        <v>220</v>
      </c>
      <c r="B27" s="8" t="s">
        <v>221</v>
      </c>
      <c r="D27" s="4">
        <f t="shared" si="1"/>
        <v>0</v>
      </c>
      <c r="E27" s="3">
        <f>4</f>
        <v>4</v>
      </c>
      <c r="F27" s="4">
        <f t="shared" si="2"/>
        <v>0.004347826086956522</v>
      </c>
      <c r="G27" s="3">
        <f>12</f>
        <v>12</v>
      </c>
      <c r="H27" s="4">
        <f t="shared" si="3"/>
        <v>0.0017444395987788923</v>
      </c>
      <c r="I27" s="10">
        <f t="shared" si="0"/>
        <v>0.0020307552285784712</v>
      </c>
      <c r="J27" s="21"/>
      <c r="K27" s="24">
        <f t="shared" si="4"/>
        <v>235.05506420296174</v>
      </c>
      <c r="L27" s="23"/>
    </row>
    <row r="28" spans="1:12" ht="12.75" outlineLevel="1">
      <c r="A28" s="7" t="s">
        <v>222</v>
      </c>
      <c r="B28" s="8" t="s">
        <v>223</v>
      </c>
      <c r="C28" s="3">
        <f>1</f>
        <v>1</v>
      </c>
      <c r="D28" s="4">
        <f t="shared" si="1"/>
        <v>0.0006222775357809583</v>
      </c>
      <c r="F28" s="4">
        <f t="shared" si="2"/>
        <v>0</v>
      </c>
      <c r="H28" s="4">
        <f t="shared" si="3"/>
        <v>0</v>
      </c>
      <c r="I28" s="10">
        <f t="shared" si="0"/>
        <v>0.00020742584526031943</v>
      </c>
      <c r="J28" s="21"/>
      <c r="K28" s="24">
        <f t="shared" si="4"/>
        <v>24.009045841111803</v>
      </c>
      <c r="L28" s="23"/>
    </row>
    <row r="29" spans="1:12" ht="12.75" outlineLevel="1">
      <c r="A29" s="7" t="s">
        <v>224</v>
      </c>
      <c r="B29" s="8" t="s">
        <v>225</v>
      </c>
      <c r="C29" s="3">
        <f>29+3</f>
        <v>32</v>
      </c>
      <c r="D29" s="4">
        <f t="shared" si="1"/>
        <v>0.019912881144990666</v>
      </c>
      <c r="F29" s="4">
        <f t="shared" si="2"/>
        <v>0</v>
      </c>
      <c r="G29" s="3">
        <f>423</f>
        <v>423</v>
      </c>
      <c r="H29" s="4">
        <f t="shared" si="3"/>
        <v>0.06149149585695595</v>
      </c>
      <c r="I29" s="10">
        <f t="shared" si="0"/>
        <v>0.027134792333982204</v>
      </c>
      <c r="J29" s="21"/>
      <c r="K29" s="24">
        <f t="shared" si="4"/>
        <v>3140.787360504762</v>
      </c>
      <c r="L29" s="23"/>
    </row>
    <row r="30" spans="1:12" ht="12.75" outlineLevel="1">
      <c r="A30" s="7" t="s">
        <v>226</v>
      </c>
      <c r="B30" s="8" t="s">
        <v>227</v>
      </c>
      <c r="D30" s="4">
        <f t="shared" si="1"/>
        <v>0</v>
      </c>
      <c r="E30" s="3">
        <f>1</f>
        <v>1</v>
      </c>
      <c r="F30" s="4">
        <f t="shared" si="2"/>
        <v>0.0010869565217391304</v>
      </c>
      <c r="G30" s="3">
        <f>157</f>
        <v>157</v>
      </c>
      <c r="H30" s="4">
        <f t="shared" si="3"/>
        <v>0.022823084750690507</v>
      </c>
      <c r="I30" s="10">
        <f t="shared" si="0"/>
        <v>0.007970013757476547</v>
      </c>
      <c r="J30" s="21"/>
      <c r="K30" s="24">
        <f t="shared" si="4"/>
        <v>922.5100440950299</v>
      </c>
      <c r="L30" s="23"/>
    </row>
    <row r="31" spans="1:12" ht="12.75" outlineLevel="1">
      <c r="A31" s="7" t="s">
        <v>228</v>
      </c>
      <c r="B31" s="8" t="s">
        <v>229</v>
      </c>
      <c r="D31" s="4">
        <f t="shared" si="1"/>
        <v>0</v>
      </c>
      <c r="E31" s="3">
        <f>1+1+2</f>
        <v>4</v>
      </c>
      <c r="F31" s="4">
        <f t="shared" si="2"/>
        <v>0.004347826086956522</v>
      </c>
      <c r="G31" s="3">
        <f>58</f>
        <v>58</v>
      </c>
      <c r="H31" s="4">
        <f t="shared" si="3"/>
        <v>0.008431458060764646</v>
      </c>
      <c r="I31" s="10">
        <f t="shared" si="0"/>
        <v>0.004259761382573723</v>
      </c>
      <c r="J31" s="21"/>
      <c r="K31" s="24">
        <f t="shared" si="4"/>
        <v>493.05719920320405</v>
      </c>
      <c r="L31" s="23"/>
    </row>
    <row r="32" spans="1:12" ht="12.75" outlineLevel="1">
      <c r="A32" s="7" t="s">
        <v>230</v>
      </c>
      <c r="B32" s="8" t="s">
        <v>231</v>
      </c>
      <c r="C32" s="3">
        <f>199+156</f>
        <v>355</v>
      </c>
      <c r="D32" s="4">
        <f t="shared" si="1"/>
        <v>0.2209085252022402</v>
      </c>
      <c r="E32" s="3">
        <f>40+3+1+13+37+2+2</f>
        <v>98</v>
      </c>
      <c r="F32" s="4">
        <f t="shared" si="2"/>
        <v>0.10652173913043478</v>
      </c>
      <c r="G32" s="3">
        <f>620</f>
        <v>620</v>
      </c>
      <c r="H32" s="4">
        <f t="shared" si="3"/>
        <v>0.09012937927024277</v>
      </c>
      <c r="I32" s="10">
        <f t="shared" si="0"/>
        <v>0.13918654786763926</v>
      </c>
      <c r="J32" s="21"/>
      <c r="K32" s="24">
        <f t="shared" si="4"/>
        <v>16110.51025982984</v>
      </c>
      <c r="L32" s="23"/>
    </row>
    <row r="33" spans="1:12" ht="12.75" outlineLevel="1">
      <c r="A33" s="7" t="s">
        <v>232</v>
      </c>
      <c r="B33" s="8" t="s">
        <v>233</v>
      </c>
      <c r="D33" s="4">
        <f t="shared" si="1"/>
        <v>0</v>
      </c>
      <c r="F33" s="4">
        <f t="shared" si="2"/>
        <v>0</v>
      </c>
      <c r="G33" s="3">
        <f>130</f>
        <v>130</v>
      </c>
      <c r="H33" s="4">
        <f t="shared" si="3"/>
        <v>0.018898095653438</v>
      </c>
      <c r="I33" s="10">
        <f t="shared" si="0"/>
        <v>0.006299365217812666</v>
      </c>
      <c r="J33" s="21"/>
      <c r="K33" s="24">
        <f t="shared" si="4"/>
        <v>729.1364684789455</v>
      </c>
      <c r="L33" s="23"/>
    </row>
    <row r="34" spans="1:12" ht="12.75" outlineLevel="1">
      <c r="A34" s="7" t="s">
        <v>234</v>
      </c>
      <c r="B34" s="8" t="s">
        <v>235</v>
      </c>
      <c r="C34" s="3">
        <f>8+8</f>
        <v>16</v>
      </c>
      <c r="D34" s="4">
        <f t="shared" si="1"/>
        <v>0.009956440572495333</v>
      </c>
      <c r="E34" s="3">
        <f>102+26+5+1</f>
        <v>134</v>
      </c>
      <c r="F34" s="4">
        <f t="shared" si="2"/>
        <v>0.14565217391304347</v>
      </c>
      <c r="G34" s="3">
        <f>319</f>
        <v>319</v>
      </c>
      <c r="H34" s="4">
        <f t="shared" si="3"/>
        <v>0.046373019334205554</v>
      </c>
      <c r="I34" s="10">
        <f t="shared" si="0"/>
        <v>0.06732721127324813</v>
      </c>
      <c r="J34" s="21"/>
      <c r="K34" s="24">
        <f t="shared" si="4"/>
        <v>7792.963792843528</v>
      </c>
      <c r="L34" s="23"/>
    </row>
    <row r="35" spans="1:12" ht="12.75" outlineLevel="1">
      <c r="A35" s="7" t="s">
        <v>236</v>
      </c>
      <c r="B35" s="8" t="s">
        <v>237</v>
      </c>
      <c r="C35" s="3">
        <f>6+2</f>
        <v>8</v>
      </c>
      <c r="D35" s="4">
        <f t="shared" si="1"/>
        <v>0.004978220286247666</v>
      </c>
      <c r="E35" s="3">
        <f>26</f>
        <v>26</v>
      </c>
      <c r="F35" s="4">
        <f t="shared" si="2"/>
        <v>0.02826086956521739</v>
      </c>
      <c r="G35" s="3">
        <f>167</f>
        <v>167</v>
      </c>
      <c r="H35" s="4">
        <f t="shared" si="3"/>
        <v>0.024276784416339584</v>
      </c>
      <c r="I35" s="10">
        <f t="shared" si="0"/>
        <v>0.019171958089268214</v>
      </c>
      <c r="J35" s="21"/>
      <c r="K35" s="24">
        <f t="shared" si="4"/>
        <v>2219.1083278529622</v>
      </c>
      <c r="L35" s="23"/>
    </row>
    <row r="36" spans="1:12" ht="12.75" outlineLevel="1">
      <c r="A36" s="7" t="s">
        <v>238</v>
      </c>
      <c r="B36" s="8" t="s">
        <v>239</v>
      </c>
      <c r="D36" s="4">
        <f t="shared" si="1"/>
        <v>0</v>
      </c>
      <c r="F36" s="4">
        <f t="shared" si="2"/>
        <v>0</v>
      </c>
      <c r="G36" s="3">
        <f>88</f>
        <v>88</v>
      </c>
      <c r="H36" s="4">
        <f t="shared" si="3"/>
        <v>0.012792557057711876</v>
      </c>
      <c r="I36" s="10">
        <f t="shared" si="0"/>
        <v>0.004264185685903959</v>
      </c>
      <c r="J36" s="21"/>
      <c r="K36" s="24">
        <f t="shared" si="4"/>
        <v>493.5693017395939</v>
      </c>
      <c r="L36" s="23"/>
    </row>
    <row r="37" spans="1:12" ht="12.75" outlineLevel="1">
      <c r="A37" s="7" t="s">
        <v>240</v>
      </c>
      <c r="B37" s="8" t="s">
        <v>241</v>
      </c>
      <c r="D37" s="4">
        <f t="shared" si="1"/>
        <v>0</v>
      </c>
      <c r="E37" s="3">
        <f>2+1+1+1+1</f>
        <v>6</v>
      </c>
      <c r="F37" s="4">
        <f t="shared" si="2"/>
        <v>0.006521739130434782</v>
      </c>
      <c r="G37" s="3">
        <f>33</f>
        <v>33</v>
      </c>
      <c r="H37" s="4">
        <f t="shared" si="3"/>
        <v>0.004797208896641954</v>
      </c>
      <c r="I37" s="10">
        <f t="shared" si="0"/>
        <v>0.003772982675692245</v>
      </c>
      <c r="J37" s="21"/>
      <c r="K37" s="24">
        <f t="shared" si="4"/>
        <v>436.7137272827825</v>
      </c>
      <c r="L37" s="23"/>
    </row>
    <row r="38" spans="1:12" ht="12.75" outlineLevel="1">
      <c r="A38" s="7" t="s">
        <v>242</v>
      </c>
      <c r="B38" s="8" t="s">
        <v>243</v>
      </c>
      <c r="D38" s="4">
        <f t="shared" si="1"/>
        <v>0</v>
      </c>
      <c r="F38" s="4">
        <f t="shared" si="2"/>
        <v>0</v>
      </c>
      <c r="G38" s="3">
        <f>36</f>
        <v>36</v>
      </c>
      <c r="H38" s="4">
        <f t="shared" si="3"/>
        <v>0.005233318796336677</v>
      </c>
      <c r="I38" s="10">
        <f t="shared" si="0"/>
        <v>0.0017444395987788923</v>
      </c>
      <c r="J38" s="21"/>
      <c r="K38" s="24">
        <f t="shared" si="4"/>
        <v>201.9147143480157</v>
      </c>
      <c r="L38" s="23"/>
    </row>
    <row r="39" spans="1:12" ht="12.75" outlineLevel="1">
      <c r="A39" s="7" t="s">
        <v>244</v>
      </c>
      <c r="B39" s="8" t="s">
        <v>245</v>
      </c>
      <c r="D39" s="4">
        <f t="shared" si="1"/>
        <v>0</v>
      </c>
      <c r="F39" s="4">
        <f t="shared" si="2"/>
        <v>0</v>
      </c>
      <c r="G39" s="3">
        <f>8</f>
        <v>8</v>
      </c>
      <c r="H39" s="4">
        <f t="shared" si="3"/>
        <v>0.0011629597325192615</v>
      </c>
      <c r="I39" s="10">
        <f t="shared" si="0"/>
        <v>0.00038765324417308714</v>
      </c>
      <c r="J39" s="21"/>
      <c r="K39" s="24">
        <f t="shared" si="4"/>
        <v>44.86993652178126</v>
      </c>
      <c r="L39" s="23"/>
    </row>
    <row r="40" spans="1:12" ht="12.75" outlineLevel="1">
      <c r="A40" s="7" t="s">
        <v>246</v>
      </c>
      <c r="B40" s="8" t="s">
        <v>247</v>
      </c>
      <c r="D40" s="4">
        <f t="shared" si="1"/>
        <v>0</v>
      </c>
      <c r="E40" s="3">
        <f>4+1</f>
        <v>5</v>
      </c>
      <c r="F40" s="4">
        <f t="shared" si="2"/>
        <v>0.005434782608695652</v>
      </c>
      <c r="G40" s="3">
        <f>18</f>
        <v>18</v>
      </c>
      <c r="H40" s="4">
        <f t="shared" si="3"/>
        <v>0.0026166593981683385</v>
      </c>
      <c r="I40" s="10">
        <f t="shared" si="0"/>
        <v>0.002683814002287997</v>
      </c>
      <c r="J40" s="21"/>
      <c r="K40" s="24">
        <f t="shared" si="4"/>
        <v>310.6450564493702</v>
      </c>
      <c r="L40" s="23"/>
    </row>
    <row r="41" spans="1:12" ht="12.75" outlineLevel="1">
      <c r="A41" s="7" t="s">
        <v>248</v>
      </c>
      <c r="B41" s="8" t="s">
        <v>249</v>
      </c>
      <c r="C41" s="3">
        <f>1+5</f>
        <v>6</v>
      </c>
      <c r="D41" s="4">
        <f t="shared" si="1"/>
        <v>0.00373366521468575</v>
      </c>
      <c r="E41" s="3">
        <f>30+32</f>
        <v>62</v>
      </c>
      <c r="F41" s="4">
        <f t="shared" si="2"/>
        <v>0.06739130434782609</v>
      </c>
      <c r="G41" s="3">
        <f>163</f>
        <v>163</v>
      </c>
      <c r="H41" s="4">
        <f t="shared" si="3"/>
        <v>0.023695304550079954</v>
      </c>
      <c r="I41" s="10">
        <f t="shared" si="0"/>
        <v>0.031606758037530595</v>
      </c>
      <c r="J41" s="21"/>
      <c r="K41" s="24">
        <f t="shared" si="4"/>
        <v>3658.4067026924567</v>
      </c>
      <c r="L41" s="23"/>
    </row>
    <row r="42" spans="1:12" ht="12.75" outlineLevel="1">
      <c r="A42" s="7" t="s">
        <v>250</v>
      </c>
      <c r="B42" s="8" t="s">
        <v>251</v>
      </c>
      <c r="D42" s="4">
        <f t="shared" si="1"/>
        <v>0</v>
      </c>
      <c r="F42" s="4">
        <f t="shared" si="2"/>
        <v>0</v>
      </c>
      <c r="G42" s="3">
        <f>58</f>
        <v>58</v>
      </c>
      <c r="H42" s="4">
        <f t="shared" si="3"/>
        <v>0.008431458060764646</v>
      </c>
      <c r="I42" s="10">
        <f t="shared" si="0"/>
        <v>0.002810486020254882</v>
      </c>
      <c r="J42" s="21"/>
      <c r="K42" s="24">
        <f t="shared" si="4"/>
        <v>325.30703978291416</v>
      </c>
      <c r="L42" s="23"/>
    </row>
    <row r="43" spans="1:12" ht="12.75" outlineLevel="1">
      <c r="A43" s="7" t="s">
        <v>252</v>
      </c>
      <c r="B43" s="8" t="s">
        <v>253</v>
      </c>
      <c r="D43" s="4">
        <f t="shared" si="1"/>
        <v>0</v>
      </c>
      <c r="F43" s="4">
        <f t="shared" si="2"/>
        <v>0</v>
      </c>
      <c r="G43" s="3">
        <f>12+30</f>
        <v>42</v>
      </c>
      <c r="H43" s="4">
        <f t="shared" si="3"/>
        <v>0.006105538595726123</v>
      </c>
      <c r="I43" s="10">
        <f t="shared" si="0"/>
        <v>0.0020351795319087074</v>
      </c>
      <c r="J43" s="21"/>
      <c r="K43" s="24">
        <f t="shared" si="4"/>
        <v>235.56716673935162</v>
      </c>
      <c r="L43" s="23"/>
    </row>
    <row r="44" spans="1:12" ht="12.75" outlineLevel="1">
      <c r="A44" s="7" t="s">
        <v>254</v>
      </c>
      <c r="B44" s="8" t="s">
        <v>255</v>
      </c>
      <c r="D44" s="4">
        <f t="shared" si="1"/>
        <v>0</v>
      </c>
      <c r="E44" s="3">
        <f>2</f>
        <v>2</v>
      </c>
      <c r="F44" s="4">
        <f t="shared" si="2"/>
        <v>0.002173913043478261</v>
      </c>
      <c r="G44" s="3">
        <f>10</f>
        <v>10</v>
      </c>
      <c r="H44" s="4">
        <f t="shared" si="3"/>
        <v>0.0014536996656490768</v>
      </c>
      <c r="I44" s="10">
        <f t="shared" si="0"/>
        <v>0.0012092042363757792</v>
      </c>
      <c r="J44" s="21"/>
      <c r="K44" s="24">
        <f t="shared" si="4"/>
        <v>139.9625003623715</v>
      </c>
      <c r="L44" s="23"/>
    </row>
    <row r="45" spans="1:12" ht="12.75" outlineLevel="1">
      <c r="A45" s="7" t="s">
        <v>256</v>
      </c>
      <c r="B45" s="8" t="s">
        <v>257</v>
      </c>
      <c r="D45" s="4">
        <f t="shared" si="1"/>
        <v>0</v>
      </c>
      <c r="E45" s="3">
        <f>5+1+3+1+1</f>
        <v>11</v>
      </c>
      <c r="F45" s="4">
        <f t="shared" si="2"/>
        <v>0.011956521739130435</v>
      </c>
      <c r="G45" s="3">
        <f>63</f>
        <v>63</v>
      </c>
      <c r="H45" s="4">
        <f t="shared" si="3"/>
        <v>0.009158307893589184</v>
      </c>
      <c r="I45" s="10">
        <f t="shared" si="0"/>
        <v>0.007038276544239874</v>
      </c>
      <c r="J45" s="21"/>
      <c r="K45" s="24">
        <f t="shared" si="4"/>
        <v>814.6636885148247</v>
      </c>
      <c r="L45" s="23"/>
    </row>
    <row r="46" spans="1:12" ht="12.75" outlineLevel="1">
      <c r="A46" s="7" t="s">
        <v>258</v>
      </c>
      <c r="B46" s="8" t="s">
        <v>259</v>
      </c>
      <c r="D46" s="4">
        <f t="shared" si="1"/>
        <v>0</v>
      </c>
      <c r="F46" s="4">
        <f t="shared" si="2"/>
        <v>0</v>
      </c>
      <c r="G46" s="3">
        <f>3</f>
        <v>3</v>
      </c>
      <c r="H46" s="4">
        <f t="shared" si="3"/>
        <v>0.0004361098996947231</v>
      </c>
      <c r="I46" s="10">
        <f t="shared" si="0"/>
        <v>0.00014536996656490768</v>
      </c>
      <c r="J46" s="21"/>
      <c r="K46" s="24">
        <f t="shared" si="4"/>
        <v>16.826226195667974</v>
      </c>
      <c r="L46" s="23"/>
    </row>
    <row r="47" spans="1:12" ht="12.75" outlineLevel="1">
      <c r="A47" s="7" t="s">
        <v>260</v>
      </c>
      <c r="B47" s="8" t="s">
        <v>261</v>
      </c>
      <c r="D47" s="4">
        <f t="shared" si="1"/>
        <v>0</v>
      </c>
      <c r="E47" s="3">
        <f>13+6</f>
        <v>19</v>
      </c>
      <c r="F47" s="4">
        <f t="shared" si="2"/>
        <v>0.020652173913043477</v>
      </c>
      <c r="G47" s="3">
        <f>84</f>
        <v>84</v>
      </c>
      <c r="H47" s="4">
        <f t="shared" si="3"/>
        <v>0.012211077191452245</v>
      </c>
      <c r="I47" s="10">
        <f t="shared" si="0"/>
        <v>0.010954417034831907</v>
      </c>
      <c r="J47" s="21"/>
      <c r="K47" s="24">
        <f t="shared" si="4"/>
        <v>1267.94759072508</v>
      </c>
      <c r="L47" s="23"/>
    </row>
    <row r="48" spans="1:12" ht="12.75" outlineLevel="1">
      <c r="A48" s="7" t="s">
        <v>580</v>
      </c>
      <c r="B48" s="8" t="s">
        <v>581</v>
      </c>
      <c r="D48" s="4">
        <f t="shared" si="1"/>
        <v>0</v>
      </c>
      <c r="E48" s="3">
        <f>2+7+1+1+1+2+1</f>
        <v>15</v>
      </c>
      <c r="F48" s="4">
        <f t="shared" si="2"/>
        <v>0.016304347826086956</v>
      </c>
      <c r="G48" s="3">
        <f>15</f>
        <v>15</v>
      </c>
      <c r="H48" s="4">
        <f t="shared" si="3"/>
        <v>0.002180549498473615</v>
      </c>
      <c r="I48" s="10">
        <f t="shared" si="0"/>
        <v>0.006161632441520191</v>
      </c>
      <c r="J48" s="21"/>
      <c r="K48" s="24">
        <f t="shared" si="4"/>
        <v>713.1942288044269</v>
      </c>
      <c r="L48" s="23"/>
    </row>
    <row r="49" spans="1:12" ht="12.75" outlineLevel="1">
      <c r="A49" s="7" t="s">
        <v>262</v>
      </c>
      <c r="B49" s="8" t="s">
        <v>263</v>
      </c>
      <c r="C49" s="3">
        <f>9+19</f>
        <v>28</v>
      </c>
      <c r="D49" s="4">
        <f t="shared" si="1"/>
        <v>0.017423771001866834</v>
      </c>
      <c r="F49" s="4">
        <f t="shared" si="2"/>
        <v>0</v>
      </c>
      <c r="G49" s="3">
        <f>309</f>
        <v>309</v>
      </c>
      <c r="H49" s="4">
        <f t="shared" si="3"/>
        <v>0.04491931966855647</v>
      </c>
      <c r="I49" s="10">
        <f t="shared" si="0"/>
        <v>0.020781030223474436</v>
      </c>
      <c r="J49" s="21"/>
      <c r="K49" s="24">
        <f t="shared" si="4"/>
        <v>2405.3545817049317</v>
      </c>
      <c r="L49" s="23"/>
    </row>
    <row r="50" spans="1:12" ht="12.75" outlineLevel="1">
      <c r="A50" s="7" t="s">
        <v>264</v>
      </c>
      <c r="B50" s="8" t="s">
        <v>265</v>
      </c>
      <c r="C50" s="3">
        <f>24+60</f>
        <v>84</v>
      </c>
      <c r="D50" s="4">
        <f t="shared" si="1"/>
        <v>0.0522713130056005</v>
      </c>
      <c r="E50" s="3">
        <f>5+1+1+1+1+3+3+7+1+1+1+2+3+1+1</f>
        <v>32</v>
      </c>
      <c r="F50" s="4">
        <f t="shared" si="2"/>
        <v>0.034782608695652174</v>
      </c>
      <c r="G50" s="3">
        <f>281</f>
        <v>281</v>
      </c>
      <c r="H50" s="4">
        <f t="shared" si="3"/>
        <v>0.04084896060473906</v>
      </c>
      <c r="I50" s="10">
        <f t="shared" si="0"/>
        <v>0.04263429410199724</v>
      </c>
      <c r="J50" s="21"/>
      <c r="K50" s="24">
        <f t="shared" si="4"/>
        <v>4934.8176463432765</v>
      </c>
      <c r="L50" s="23"/>
    </row>
    <row r="51" spans="1:12" ht="12.75" outlineLevel="1">
      <c r="A51" s="7" t="s">
        <v>266</v>
      </c>
      <c r="B51" s="8" t="s">
        <v>267</v>
      </c>
      <c r="C51" s="3">
        <f>1+1</f>
        <v>2</v>
      </c>
      <c r="D51" s="4">
        <f t="shared" si="1"/>
        <v>0.0012445550715619166</v>
      </c>
      <c r="F51" s="4">
        <f t="shared" si="2"/>
        <v>0</v>
      </c>
      <c r="G51" s="3">
        <f>38</f>
        <v>38</v>
      </c>
      <c r="H51" s="4">
        <f t="shared" si="3"/>
        <v>0.0055240587294664925</v>
      </c>
      <c r="I51" s="10">
        <f t="shared" si="0"/>
        <v>0.002256204600342803</v>
      </c>
      <c r="J51" s="21"/>
      <c r="K51" s="24">
        <f t="shared" si="4"/>
        <v>261.1502901606847</v>
      </c>
      <c r="L51" s="23"/>
    </row>
    <row r="52" spans="1:12" ht="12" customHeight="1" thickBot="1">
      <c r="A52" s="14" t="s">
        <v>268</v>
      </c>
      <c r="B52" s="17"/>
      <c r="C52" s="1">
        <f aca="true" t="shared" si="5" ref="C52:H52">SUM(C7:C51)</f>
        <v>1607</v>
      </c>
      <c r="D52" s="15">
        <f t="shared" si="5"/>
        <v>1</v>
      </c>
      <c r="E52" s="1">
        <f t="shared" si="5"/>
        <v>920</v>
      </c>
      <c r="F52" s="15">
        <f t="shared" si="5"/>
        <v>0.9999999999999998</v>
      </c>
      <c r="G52" s="1">
        <f t="shared" si="5"/>
        <v>6879</v>
      </c>
      <c r="H52" s="15">
        <f t="shared" si="5"/>
        <v>0.9999999999999998</v>
      </c>
      <c r="I52" s="10">
        <f t="shared" si="0"/>
        <v>0.9999999999999999</v>
      </c>
      <c r="J52" s="25"/>
      <c r="K52" s="26">
        <f>'FY11 to FY10 Comparison'!K12:L12</f>
        <v>115747.61</v>
      </c>
      <c r="L52" s="27"/>
    </row>
    <row r="54" ht="12.75">
      <c r="K54" s="80">
        <f>SUM(K7:K51)</f>
        <v>115747.60999999994</v>
      </c>
    </row>
  </sheetData>
  <mergeCells count="2">
    <mergeCell ref="J3:L4"/>
    <mergeCell ref="J5:L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pane xSplit="1" ySplit="5" topLeftCell="J8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Row="1"/>
  <cols>
    <col min="1" max="1" width="40.8515625" style="7" bestFit="1" customWidth="1"/>
    <col min="2" max="2" width="8.14062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584</v>
      </c>
      <c r="B2" s="2"/>
    </row>
    <row r="3" spans="7:12" ht="12.75">
      <c r="G3" s="3" t="s">
        <v>585</v>
      </c>
      <c r="J3" s="133" t="s">
        <v>1</v>
      </c>
      <c r="K3" s="134"/>
      <c r="L3" s="135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6"/>
      <c r="K4" s="137"/>
      <c r="L4" s="138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39" t="s">
        <v>610</v>
      </c>
      <c r="K5" s="140"/>
      <c r="L5" s="141"/>
    </row>
    <row r="6" spans="1:12" ht="12.75">
      <c r="A6" s="1" t="s">
        <v>269</v>
      </c>
      <c r="B6" s="2"/>
      <c r="J6" s="21"/>
      <c r="K6" s="24"/>
      <c r="L6" s="23"/>
    </row>
    <row r="7" spans="1:12" ht="12.75" outlineLevel="1">
      <c r="A7" s="7" t="s">
        <v>270</v>
      </c>
      <c r="B7" s="8" t="s">
        <v>271</v>
      </c>
      <c r="C7" s="3">
        <f>1+2</f>
        <v>3</v>
      </c>
      <c r="D7" s="4">
        <f>C7/$C$99</f>
        <v>0.0006906077348066298</v>
      </c>
      <c r="F7" s="4">
        <f>E7/$E$99</f>
        <v>0</v>
      </c>
      <c r="H7" s="4">
        <f>G7/$G$99</f>
        <v>0</v>
      </c>
      <c r="I7" s="10">
        <f aca="true" t="shared" si="0" ref="I7:I38">+(D7+F7+H7)/3</f>
        <v>0.0002302025782688766</v>
      </c>
      <c r="J7" s="21"/>
      <c r="K7" s="24">
        <f>$K$99*I7</f>
        <v>49.43487569060773</v>
      </c>
      <c r="L7" s="23"/>
    </row>
    <row r="8" spans="1:12" ht="12.75" outlineLevel="1">
      <c r="A8" s="7" t="s">
        <v>272</v>
      </c>
      <c r="B8" s="8" t="s">
        <v>273</v>
      </c>
      <c r="C8" s="3">
        <f>4+4</f>
        <v>8</v>
      </c>
      <c r="D8" s="4">
        <f aca="true" t="shared" si="1" ref="D8:D71">C8/$C$99</f>
        <v>0.001841620626151013</v>
      </c>
      <c r="E8" s="3">
        <f>1</f>
        <v>1</v>
      </c>
      <c r="F8" s="4">
        <f aca="true" t="shared" si="2" ref="F8:F71">E8/$E$99</f>
        <v>0.0005042864346949068</v>
      </c>
      <c r="G8" s="3">
        <f>23</f>
        <v>23</v>
      </c>
      <c r="H8" s="4">
        <f aca="true" t="shared" si="3" ref="H8:H71">G8/$G$99</f>
        <v>0.0030609528879425073</v>
      </c>
      <c r="I8" s="10">
        <f t="shared" si="0"/>
        <v>0.0018022866495961425</v>
      </c>
      <c r="J8" s="21"/>
      <c r="K8" s="24">
        <f aca="true" t="shared" si="4" ref="K8:K71">$K$99*I8</f>
        <v>387.0322267961886</v>
      </c>
      <c r="L8" s="23"/>
    </row>
    <row r="9" spans="1:12" ht="12.75" outlineLevel="1">
      <c r="A9" s="7" t="s">
        <v>552</v>
      </c>
      <c r="B9" s="8" t="s">
        <v>553</v>
      </c>
      <c r="C9" s="3">
        <f>3+3</f>
        <v>6</v>
      </c>
      <c r="D9" s="4">
        <f t="shared" si="1"/>
        <v>0.0013812154696132596</v>
      </c>
      <c r="F9" s="4">
        <f t="shared" si="2"/>
        <v>0</v>
      </c>
      <c r="H9" s="4">
        <f t="shared" si="3"/>
        <v>0</v>
      </c>
      <c r="I9" s="10">
        <f t="shared" si="0"/>
        <v>0.0004604051565377532</v>
      </c>
      <c r="J9" s="21"/>
      <c r="K9" s="24">
        <f t="shared" si="4"/>
        <v>98.86975138121547</v>
      </c>
      <c r="L9" s="23"/>
    </row>
    <row r="10" spans="1:12" ht="12.75" outlineLevel="1">
      <c r="A10" s="7" t="s">
        <v>274</v>
      </c>
      <c r="B10" s="8" t="s">
        <v>275</v>
      </c>
      <c r="D10" s="4">
        <f t="shared" si="1"/>
        <v>0</v>
      </c>
      <c r="E10" s="3">
        <f>1</f>
        <v>1</v>
      </c>
      <c r="F10" s="4">
        <f t="shared" si="2"/>
        <v>0.0005042864346949068</v>
      </c>
      <c r="G10" s="3">
        <f>16</f>
        <v>16</v>
      </c>
      <c r="H10" s="4">
        <f t="shared" si="3"/>
        <v>0.002129358530742614</v>
      </c>
      <c r="I10" s="10">
        <f t="shared" si="0"/>
        <v>0.0008778816551458403</v>
      </c>
      <c r="J10" s="21"/>
      <c r="K10" s="24">
        <f t="shared" si="4"/>
        <v>188.520783822459</v>
      </c>
      <c r="L10" s="23"/>
    </row>
    <row r="11" spans="1:12" ht="12.75" outlineLevel="1">
      <c r="A11" s="7" t="s">
        <v>276</v>
      </c>
      <c r="B11" s="8" t="s">
        <v>277</v>
      </c>
      <c r="D11" s="4">
        <f t="shared" si="1"/>
        <v>0</v>
      </c>
      <c r="F11" s="4">
        <f t="shared" si="2"/>
        <v>0</v>
      </c>
      <c r="G11" s="3">
        <f>62</f>
        <v>62</v>
      </c>
      <c r="H11" s="4">
        <f t="shared" si="3"/>
        <v>0.008251264306627629</v>
      </c>
      <c r="I11" s="10">
        <f t="shared" si="0"/>
        <v>0.002750421435542543</v>
      </c>
      <c r="J11" s="21"/>
      <c r="K11" s="24">
        <f t="shared" si="4"/>
        <v>590.6395262177269</v>
      </c>
      <c r="L11" s="23"/>
    </row>
    <row r="12" spans="1:12" ht="12.75" outlineLevel="1">
      <c r="A12" s="7" t="s">
        <v>278</v>
      </c>
      <c r="B12" s="8" t="s">
        <v>279</v>
      </c>
      <c r="D12" s="4">
        <f t="shared" si="1"/>
        <v>0</v>
      </c>
      <c r="F12" s="4">
        <f t="shared" si="2"/>
        <v>0</v>
      </c>
      <c r="G12" s="3">
        <f>122</f>
        <v>122</v>
      </c>
      <c r="H12" s="4">
        <f t="shared" si="3"/>
        <v>0.01623635879691243</v>
      </c>
      <c r="I12" s="10">
        <f t="shared" si="0"/>
        <v>0.00541211959897081</v>
      </c>
      <c r="J12" s="21"/>
      <c r="K12" s="24">
        <f t="shared" si="4"/>
        <v>1162.2261644929465</v>
      </c>
      <c r="L12" s="23"/>
    </row>
    <row r="13" spans="1:12" ht="12.75" outlineLevel="1">
      <c r="A13" s="7" t="s">
        <v>280</v>
      </c>
      <c r="B13" s="8" t="s">
        <v>281</v>
      </c>
      <c r="C13" s="3">
        <f>13</f>
        <v>13</v>
      </c>
      <c r="D13" s="4">
        <f t="shared" si="1"/>
        <v>0.002992633517495396</v>
      </c>
      <c r="E13" s="3">
        <f>3</f>
        <v>3</v>
      </c>
      <c r="F13" s="4">
        <f t="shared" si="2"/>
        <v>0.0015128593040847202</v>
      </c>
      <c r="G13" s="3">
        <f>41</f>
        <v>41</v>
      </c>
      <c r="H13" s="4">
        <f t="shared" si="3"/>
        <v>0.005456481235027948</v>
      </c>
      <c r="I13" s="10">
        <f t="shared" si="0"/>
        <v>0.0033206580188693546</v>
      </c>
      <c r="J13" s="21"/>
      <c r="K13" s="24">
        <f t="shared" si="4"/>
        <v>713.0950383279014</v>
      </c>
      <c r="L13" s="23"/>
    </row>
    <row r="14" spans="1:12" ht="12.75" outlineLevel="1">
      <c r="A14" s="7" t="s">
        <v>282</v>
      </c>
      <c r="B14" s="8" t="s">
        <v>283</v>
      </c>
      <c r="D14" s="4">
        <f t="shared" si="1"/>
        <v>0</v>
      </c>
      <c r="E14" s="3">
        <f>1</f>
        <v>1</v>
      </c>
      <c r="F14" s="4">
        <f t="shared" si="2"/>
        <v>0.0005042864346949068</v>
      </c>
      <c r="G14" s="3">
        <f>2</f>
        <v>2</v>
      </c>
      <c r="H14" s="4">
        <f t="shared" si="3"/>
        <v>0.00026616981634282674</v>
      </c>
      <c r="I14" s="10">
        <f t="shared" si="0"/>
        <v>0.00025681875034591113</v>
      </c>
      <c r="J14" s="21"/>
      <c r="K14" s="24">
        <f t="shared" si="4"/>
        <v>55.15056822490772</v>
      </c>
      <c r="L14" s="23"/>
    </row>
    <row r="15" spans="1:12" ht="12.75" outlineLevel="1">
      <c r="A15" s="7" t="s">
        <v>601</v>
      </c>
      <c r="B15" s="8" t="s">
        <v>602</v>
      </c>
      <c r="C15" s="3">
        <v>1</v>
      </c>
      <c r="D15" s="4">
        <f t="shared" si="1"/>
        <v>0.00023020257826887662</v>
      </c>
      <c r="F15" s="4">
        <f t="shared" si="2"/>
        <v>0</v>
      </c>
      <c r="H15" s="4">
        <f t="shared" si="3"/>
        <v>0</v>
      </c>
      <c r="I15" s="10">
        <f t="shared" si="0"/>
        <v>7.673419275629221E-05</v>
      </c>
      <c r="J15" s="21"/>
      <c r="K15" s="24">
        <f t="shared" si="4"/>
        <v>16.478291896869248</v>
      </c>
      <c r="L15" s="23"/>
    </row>
    <row r="16" spans="1:12" ht="12.75" outlineLevel="1">
      <c r="A16" s="7" t="s">
        <v>550</v>
      </c>
      <c r="B16" s="8" t="s">
        <v>551</v>
      </c>
      <c r="C16" s="3">
        <f>1+4</f>
        <v>5</v>
      </c>
      <c r="D16" s="4">
        <f t="shared" si="1"/>
        <v>0.0011510128913443832</v>
      </c>
      <c r="F16" s="4">
        <f t="shared" si="2"/>
        <v>0</v>
      </c>
      <c r="H16" s="4">
        <f t="shared" si="3"/>
        <v>0</v>
      </c>
      <c r="I16" s="10">
        <f t="shared" si="0"/>
        <v>0.00038367096378146107</v>
      </c>
      <c r="J16" s="21"/>
      <c r="K16" s="24">
        <f t="shared" si="4"/>
        <v>82.39145948434624</v>
      </c>
      <c r="L16" s="23"/>
    </row>
    <row r="17" spans="1:12" ht="12.75" outlineLevel="1">
      <c r="A17" s="7" t="s">
        <v>284</v>
      </c>
      <c r="B17" s="8" t="s">
        <v>285</v>
      </c>
      <c r="D17" s="4">
        <f t="shared" si="1"/>
        <v>0</v>
      </c>
      <c r="E17" s="3">
        <f>1+2+4+2</f>
        <v>9</v>
      </c>
      <c r="F17" s="4">
        <f t="shared" si="2"/>
        <v>0.0045385779122541605</v>
      </c>
      <c r="G17" s="3">
        <f>22</f>
        <v>22</v>
      </c>
      <c r="H17" s="4">
        <f t="shared" si="3"/>
        <v>0.002927867979771094</v>
      </c>
      <c r="I17" s="10">
        <f t="shared" si="0"/>
        <v>0.0024888152973417516</v>
      </c>
      <c r="J17" s="21"/>
      <c r="K17" s="24">
        <f t="shared" si="4"/>
        <v>534.4608899091842</v>
      </c>
      <c r="L17" s="23"/>
    </row>
    <row r="18" spans="1:12" ht="12.75" outlineLevel="1">
      <c r="A18" s="7" t="s">
        <v>286</v>
      </c>
      <c r="B18" s="8" t="s">
        <v>287</v>
      </c>
      <c r="C18" s="3">
        <f>12+18</f>
        <v>30</v>
      </c>
      <c r="D18" s="4">
        <f t="shared" si="1"/>
        <v>0.006906077348066298</v>
      </c>
      <c r="E18" s="3">
        <f>18+39+5+4+7+3+1+1+1+5+3+3+4+4+4+4+4+4+4+6+4+4+7+16+10+4+29+15</f>
        <v>213</v>
      </c>
      <c r="F18" s="4">
        <f t="shared" si="2"/>
        <v>0.10741301059001512</v>
      </c>
      <c r="G18" s="3">
        <f>531</f>
        <v>531</v>
      </c>
      <c r="H18" s="4">
        <f t="shared" si="3"/>
        <v>0.07066808623902049</v>
      </c>
      <c r="I18" s="10">
        <f t="shared" si="0"/>
        <v>0.06166239139236731</v>
      </c>
      <c r="J18" s="21"/>
      <c r="K18" s="24">
        <f t="shared" si="4"/>
        <v>13241.696405793058</v>
      </c>
      <c r="L18" s="23"/>
    </row>
    <row r="19" spans="1:12" ht="12.75" outlineLevel="1">
      <c r="A19" s="7" t="s">
        <v>288</v>
      </c>
      <c r="B19" s="8" t="s">
        <v>289</v>
      </c>
      <c r="D19" s="4">
        <f t="shared" si="1"/>
        <v>0</v>
      </c>
      <c r="F19" s="4">
        <f t="shared" si="2"/>
        <v>0</v>
      </c>
      <c r="G19" s="3">
        <f>86</f>
        <v>86</v>
      </c>
      <c r="H19" s="4">
        <f t="shared" si="3"/>
        <v>0.011445302102741549</v>
      </c>
      <c r="I19" s="10">
        <f t="shared" si="0"/>
        <v>0.0038151007009138496</v>
      </c>
      <c r="J19" s="21"/>
      <c r="K19" s="24">
        <f t="shared" si="4"/>
        <v>819.2741815278148</v>
      </c>
      <c r="L19" s="23"/>
    </row>
    <row r="20" spans="1:12" ht="12.75" outlineLevel="1">
      <c r="A20" s="7" t="s">
        <v>290</v>
      </c>
      <c r="B20" s="8" t="s">
        <v>291</v>
      </c>
      <c r="D20" s="4">
        <f t="shared" si="1"/>
        <v>0</v>
      </c>
      <c r="F20" s="4">
        <f t="shared" si="2"/>
        <v>0</v>
      </c>
      <c r="G20" s="3">
        <f>4</f>
        <v>4</v>
      </c>
      <c r="H20" s="4">
        <f t="shared" si="3"/>
        <v>0.0005323396326856535</v>
      </c>
      <c r="I20" s="10">
        <f t="shared" si="0"/>
        <v>0.00017744654422855116</v>
      </c>
      <c r="J20" s="21"/>
      <c r="K20" s="24">
        <f t="shared" si="4"/>
        <v>38.105775885014644</v>
      </c>
      <c r="L20" s="23"/>
    </row>
    <row r="21" spans="1:12" ht="12.75" outlineLevel="1">
      <c r="A21" s="7" t="s">
        <v>292</v>
      </c>
      <c r="B21" s="8" t="s">
        <v>293</v>
      </c>
      <c r="D21" s="4">
        <f t="shared" si="1"/>
        <v>0</v>
      </c>
      <c r="E21" s="3">
        <f>1+1</f>
        <v>2</v>
      </c>
      <c r="F21" s="4">
        <f t="shared" si="2"/>
        <v>0.0010085728693898135</v>
      </c>
      <c r="G21" s="3">
        <f>4</f>
        <v>4</v>
      </c>
      <c r="H21" s="4">
        <f t="shared" si="3"/>
        <v>0.0005323396326856535</v>
      </c>
      <c r="I21" s="10">
        <f t="shared" si="0"/>
        <v>0.0005136375006918223</v>
      </c>
      <c r="J21" s="21"/>
      <c r="K21" s="24">
        <f t="shared" si="4"/>
        <v>110.30113644981544</v>
      </c>
      <c r="L21" s="23"/>
    </row>
    <row r="22" spans="1:12" ht="12.75" outlineLevel="1">
      <c r="A22" s="7" t="s">
        <v>23</v>
      </c>
      <c r="B22" s="8" t="s">
        <v>294</v>
      </c>
      <c r="D22" s="4">
        <f t="shared" si="1"/>
        <v>0</v>
      </c>
      <c r="E22" s="3">
        <f>7</f>
        <v>7</v>
      </c>
      <c r="F22" s="4">
        <f t="shared" si="2"/>
        <v>0.0035300050428643467</v>
      </c>
      <c r="G22" s="3">
        <f>23</f>
        <v>23</v>
      </c>
      <c r="H22" s="4">
        <f t="shared" si="3"/>
        <v>0.0030609528879425073</v>
      </c>
      <c r="I22" s="10">
        <f t="shared" si="0"/>
        <v>0.002196985976935618</v>
      </c>
      <c r="J22" s="21"/>
      <c r="K22" s="24">
        <f t="shared" si="4"/>
        <v>471.79197331563705</v>
      </c>
      <c r="L22" s="23"/>
    </row>
    <row r="23" spans="1:12" ht="12.75" outlineLevel="1">
      <c r="A23" s="7" t="s">
        <v>295</v>
      </c>
      <c r="B23" s="8" t="s">
        <v>296</v>
      </c>
      <c r="C23" s="3">
        <f>1</f>
        <v>1</v>
      </c>
      <c r="D23" s="4">
        <f t="shared" si="1"/>
        <v>0.00023020257826887662</v>
      </c>
      <c r="E23" s="3">
        <f>1+2+1+6</f>
        <v>10</v>
      </c>
      <c r="F23" s="4">
        <f t="shared" si="2"/>
        <v>0.005042864346949067</v>
      </c>
      <c r="G23" s="3">
        <f>29</f>
        <v>29</v>
      </c>
      <c r="H23" s="4">
        <f t="shared" si="3"/>
        <v>0.0038594623369709873</v>
      </c>
      <c r="I23" s="10">
        <f t="shared" si="0"/>
        <v>0.0030441764207296434</v>
      </c>
      <c r="J23" s="21"/>
      <c r="K23" s="24">
        <f t="shared" si="4"/>
        <v>653.7219698872293</v>
      </c>
      <c r="L23" s="23"/>
    </row>
    <row r="24" spans="1:12" ht="12.75" outlineLevel="1">
      <c r="A24" s="7" t="s">
        <v>297</v>
      </c>
      <c r="B24" s="8" t="s">
        <v>298</v>
      </c>
      <c r="D24" s="4">
        <f t="shared" si="1"/>
        <v>0</v>
      </c>
      <c r="F24" s="4">
        <f t="shared" si="2"/>
        <v>0</v>
      </c>
      <c r="G24" s="3">
        <f>8</f>
        <v>8</v>
      </c>
      <c r="H24" s="4">
        <f t="shared" si="3"/>
        <v>0.001064679265371307</v>
      </c>
      <c r="I24" s="10">
        <f t="shared" si="0"/>
        <v>0.0003548930884571023</v>
      </c>
      <c r="J24" s="21"/>
      <c r="K24" s="24">
        <f t="shared" si="4"/>
        <v>76.21155177002929</v>
      </c>
      <c r="L24" s="23"/>
    </row>
    <row r="25" spans="1:12" ht="12.75" outlineLevel="1">
      <c r="A25" s="7" t="s">
        <v>299</v>
      </c>
      <c r="B25" s="8" t="s">
        <v>596</v>
      </c>
      <c r="C25" s="3">
        <f>7</f>
        <v>7</v>
      </c>
      <c r="D25" s="4">
        <f t="shared" si="1"/>
        <v>0.0016114180478821363</v>
      </c>
      <c r="E25" s="3">
        <f>1+1</f>
        <v>2</v>
      </c>
      <c r="F25" s="4">
        <f t="shared" si="2"/>
        <v>0.0010085728693898135</v>
      </c>
      <c r="G25" s="3">
        <f>6+5</f>
        <v>11</v>
      </c>
      <c r="H25" s="4">
        <f t="shared" si="3"/>
        <v>0.001463933989885547</v>
      </c>
      <c r="I25" s="10">
        <f t="shared" si="0"/>
        <v>0.0013613083023858322</v>
      </c>
      <c r="J25" s="21"/>
      <c r="K25" s="24">
        <f t="shared" si="4"/>
        <v>292.3342875266758</v>
      </c>
      <c r="L25" s="23"/>
    </row>
    <row r="26" spans="1:12" ht="12.75" outlineLevel="1">
      <c r="A26" s="7" t="s">
        <v>300</v>
      </c>
      <c r="B26" s="8" t="s">
        <v>301</v>
      </c>
      <c r="C26" s="3">
        <f>10+469</f>
        <v>479</v>
      </c>
      <c r="D26" s="4">
        <f t="shared" si="1"/>
        <v>0.11026703499079189</v>
      </c>
      <c r="E26" s="3">
        <f>20+7</f>
        <v>27</v>
      </c>
      <c r="F26" s="4">
        <f t="shared" si="2"/>
        <v>0.01361573373676248</v>
      </c>
      <c r="G26" s="3">
        <f>121</f>
        <v>121</v>
      </c>
      <c r="H26" s="4">
        <f t="shared" si="3"/>
        <v>0.016103273888741016</v>
      </c>
      <c r="I26" s="10">
        <f t="shared" si="0"/>
        <v>0.04666201420543179</v>
      </c>
      <c r="J26" s="21"/>
      <c r="K26" s="24">
        <f t="shared" si="4"/>
        <v>10020.438906746871</v>
      </c>
      <c r="L26" s="23"/>
    </row>
    <row r="27" spans="1:12" ht="12.75" outlineLevel="1">
      <c r="A27" s="7" t="s">
        <v>302</v>
      </c>
      <c r="B27" s="8" t="s">
        <v>556</v>
      </c>
      <c r="C27" s="3">
        <f>5+329</f>
        <v>334</v>
      </c>
      <c r="D27" s="4">
        <f t="shared" si="1"/>
        <v>0.07688766114180479</v>
      </c>
      <c r="E27" s="3">
        <f>17</f>
        <v>17</v>
      </c>
      <c r="F27" s="4">
        <f t="shared" si="2"/>
        <v>0.008572869389813415</v>
      </c>
      <c r="G27" s="3">
        <f>77</f>
        <v>77</v>
      </c>
      <c r="H27" s="4">
        <f t="shared" si="3"/>
        <v>0.010247537929198828</v>
      </c>
      <c r="I27" s="10">
        <f t="shared" si="0"/>
        <v>0.03190268948693901</v>
      </c>
      <c r="J27" s="21"/>
      <c r="K27" s="24">
        <f t="shared" si="4"/>
        <v>6850.946244141666</v>
      </c>
      <c r="L27" s="23"/>
    </row>
    <row r="28" spans="1:12" ht="12.75" outlineLevel="1">
      <c r="A28" s="7" t="s">
        <v>303</v>
      </c>
      <c r="B28" s="8" t="s">
        <v>304</v>
      </c>
      <c r="C28" s="3">
        <f>68+100</f>
        <v>168</v>
      </c>
      <c r="D28" s="4">
        <f t="shared" si="1"/>
        <v>0.03867403314917127</v>
      </c>
      <c r="E28" s="3">
        <f>257+73</f>
        <v>330</v>
      </c>
      <c r="F28" s="4">
        <f t="shared" si="2"/>
        <v>0.1664145234493192</v>
      </c>
      <c r="G28" s="3">
        <f>544</f>
        <v>544</v>
      </c>
      <c r="H28" s="4">
        <f t="shared" si="3"/>
        <v>0.07239819004524888</v>
      </c>
      <c r="I28" s="10">
        <f t="shared" si="0"/>
        <v>0.09249558221457978</v>
      </c>
      <c r="J28" s="21"/>
      <c r="K28" s="24">
        <f t="shared" si="4"/>
        <v>19862.973052228157</v>
      </c>
      <c r="L28" s="23"/>
    </row>
    <row r="29" spans="1:12" ht="12.75" outlineLevel="1">
      <c r="A29" s="7" t="s">
        <v>305</v>
      </c>
      <c r="B29" s="8" t="s">
        <v>306</v>
      </c>
      <c r="D29" s="4">
        <f t="shared" si="1"/>
        <v>0</v>
      </c>
      <c r="F29" s="4">
        <f t="shared" si="2"/>
        <v>0</v>
      </c>
      <c r="G29" s="3">
        <f>28</f>
        <v>28</v>
      </c>
      <c r="H29" s="4">
        <f t="shared" si="3"/>
        <v>0.0037263774287995743</v>
      </c>
      <c r="I29" s="10">
        <f t="shared" si="0"/>
        <v>0.001242125809599858</v>
      </c>
      <c r="J29" s="21"/>
      <c r="K29" s="24">
        <f t="shared" si="4"/>
        <v>266.7404311951025</v>
      </c>
      <c r="L29" s="23"/>
    </row>
    <row r="30" spans="1:12" ht="12.75" outlineLevel="1">
      <c r="A30" s="7" t="s">
        <v>307</v>
      </c>
      <c r="B30" s="8" t="s">
        <v>308</v>
      </c>
      <c r="D30" s="4">
        <f t="shared" si="1"/>
        <v>0</v>
      </c>
      <c r="E30" s="3">
        <f>9</f>
        <v>9</v>
      </c>
      <c r="F30" s="4">
        <f t="shared" si="2"/>
        <v>0.0045385779122541605</v>
      </c>
      <c r="G30" s="3">
        <f>21</f>
        <v>21</v>
      </c>
      <c r="H30" s="4">
        <f t="shared" si="3"/>
        <v>0.0027947830715996805</v>
      </c>
      <c r="I30" s="10">
        <f t="shared" si="0"/>
        <v>0.0024444536612846135</v>
      </c>
      <c r="J30" s="21"/>
      <c r="K30" s="24">
        <f t="shared" si="4"/>
        <v>524.9344459379305</v>
      </c>
      <c r="L30" s="23"/>
    </row>
    <row r="31" spans="1:12" ht="12.75" outlineLevel="1">
      <c r="A31" s="7" t="s">
        <v>309</v>
      </c>
      <c r="B31" s="8" t="s">
        <v>310</v>
      </c>
      <c r="C31" s="3">
        <f>3</f>
        <v>3</v>
      </c>
      <c r="D31" s="4">
        <f t="shared" si="1"/>
        <v>0.0006906077348066298</v>
      </c>
      <c r="F31" s="4">
        <f t="shared" si="2"/>
        <v>0</v>
      </c>
      <c r="G31" s="3">
        <f>12</f>
        <v>12</v>
      </c>
      <c r="H31" s="4">
        <f t="shared" si="3"/>
        <v>0.0015970188980569604</v>
      </c>
      <c r="I31" s="10">
        <f t="shared" si="0"/>
        <v>0.00076254221095453</v>
      </c>
      <c r="J31" s="21"/>
      <c r="K31" s="24">
        <f t="shared" si="4"/>
        <v>163.75220334565165</v>
      </c>
      <c r="L31" s="23"/>
    </row>
    <row r="32" spans="1:12" ht="12.75" outlineLevel="1">
      <c r="A32" s="7" t="s">
        <v>311</v>
      </c>
      <c r="B32" s="8" t="s">
        <v>312</v>
      </c>
      <c r="D32" s="4">
        <f t="shared" si="1"/>
        <v>0</v>
      </c>
      <c r="E32" s="3">
        <f>2+2+1+1</f>
        <v>6</v>
      </c>
      <c r="F32" s="4">
        <f t="shared" si="2"/>
        <v>0.0030257186081694403</v>
      </c>
      <c r="G32" s="3">
        <f>34</f>
        <v>34</v>
      </c>
      <c r="H32" s="4">
        <f t="shared" si="3"/>
        <v>0.004524886877828055</v>
      </c>
      <c r="I32" s="10">
        <f t="shared" si="0"/>
        <v>0.0025168684953324983</v>
      </c>
      <c r="J32" s="21"/>
      <c r="K32" s="24">
        <f t="shared" si="4"/>
        <v>540.4851767170269</v>
      </c>
      <c r="L32" s="23"/>
    </row>
    <row r="33" spans="1:12" ht="12.75" outlineLevel="1">
      <c r="A33" s="7" t="s">
        <v>313</v>
      </c>
      <c r="B33" s="8" t="s">
        <v>314</v>
      </c>
      <c r="D33" s="4">
        <f t="shared" si="1"/>
        <v>0</v>
      </c>
      <c r="F33" s="4">
        <f t="shared" si="2"/>
        <v>0</v>
      </c>
      <c r="G33" s="3">
        <f>1</f>
        <v>1</v>
      </c>
      <c r="H33" s="4">
        <f t="shared" si="3"/>
        <v>0.00013308490817141337</v>
      </c>
      <c r="I33" s="10">
        <f t="shared" si="0"/>
        <v>4.436163605713779E-05</v>
      </c>
      <c r="J33" s="21"/>
      <c r="K33" s="24">
        <f t="shared" si="4"/>
        <v>9.526443971253661</v>
      </c>
      <c r="L33" s="23"/>
    </row>
    <row r="34" spans="1:12" ht="12.75" outlineLevel="1">
      <c r="A34" s="7" t="s">
        <v>315</v>
      </c>
      <c r="B34" s="8" t="s">
        <v>316</v>
      </c>
      <c r="D34" s="4">
        <f t="shared" si="1"/>
        <v>0</v>
      </c>
      <c r="E34" s="3">
        <f>1+2</f>
        <v>3</v>
      </c>
      <c r="F34" s="4">
        <f t="shared" si="2"/>
        <v>0.0015128593040847202</v>
      </c>
      <c r="G34" s="3">
        <f>12+2</f>
        <v>14</v>
      </c>
      <c r="H34" s="4">
        <f t="shared" si="3"/>
        <v>0.0018631887143997872</v>
      </c>
      <c r="I34" s="10">
        <f t="shared" si="0"/>
        <v>0.0011253493394948358</v>
      </c>
      <c r="J34" s="21"/>
      <c r="K34" s="24">
        <f t="shared" si="4"/>
        <v>241.66325644475248</v>
      </c>
      <c r="L34" s="23"/>
    </row>
    <row r="35" spans="1:12" ht="12.75" outlineLevel="1">
      <c r="A35" s="7" t="s">
        <v>317</v>
      </c>
      <c r="B35" s="8" t="s">
        <v>318</v>
      </c>
      <c r="D35" s="4">
        <f t="shared" si="1"/>
        <v>0</v>
      </c>
      <c r="E35" s="3">
        <f>2+2+3</f>
        <v>7</v>
      </c>
      <c r="F35" s="4">
        <f t="shared" si="2"/>
        <v>0.0035300050428643467</v>
      </c>
      <c r="G35" s="3">
        <f>78</f>
        <v>78</v>
      </c>
      <c r="H35" s="4">
        <f t="shared" si="3"/>
        <v>0.010380622837370242</v>
      </c>
      <c r="I35" s="10">
        <f t="shared" si="0"/>
        <v>0.004636875960078196</v>
      </c>
      <c r="J35" s="21"/>
      <c r="K35" s="24">
        <f t="shared" si="4"/>
        <v>995.7463917345883</v>
      </c>
      <c r="L35" s="23"/>
    </row>
    <row r="36" spans="1:12" ht="12.75" outlineLevel="1">
      <c r="A36" s="7" t="s">
        <v>319</v>
      </c>
      <c r="B36" s="8" t="s">
        <v>320</v>
      </c>
      <c r="D36" s="4">
        <f t="shared" si="1"/>
        <v>0</v>
      </c>
      <c r="E36" s="3">
        <f>2</f>
        <v>2</v>
      </c>
      <c r="F36" s="4">
        <f t="shared" si="2"/>
        <v>0.0010085728693898135</v>
      </c>
      <c r="G36" s="3">
        <f>19</f>
        <v>19</v>
      </c>
      <c r="H36" s="4">
        <f t="shared" si="3"/>
        <v>0.0025286132552568537</v>
      </c>
      <c r="I36" s="10">
        <f t="shared" si="0"/>
        <v>0.0011790620415488891</v>
      </c>
      <c r="J36" s="21"/>
      <c r="K36" s="24">
        <f t="shared" si="4"/>
        <v>253.19779601862035</v>
      </c>
      <c r="L36" s="23"/>
    </row>
    <row r="37" spans="1:12" ht="12.75" outlineLevel="1">
      <c r="A37" s="7" t="s">
        <v>321</v>
      </c>
      <c r="B37" s="8" t="s">
        <v>322</v>
      </c>
      <c r="C37" s="3">
        <f>12</f>
        <v>12</v>
      </c>
      <c r="D37" s="4">
        <f t="shared" si="1"/>
        <v>0.0027624309392265192</v>
      </c>
      <c r="E37" s="3">
        <f>10</f>
        <v>10</v>
      </c>
      <c r="F37" s="4">
        <f t="shared" si="2"/>
        <v>0.005042864346949067</v>
      </c>
      <c r="G37" s="3">
        <f>38</f>
        <v>38</v>
      </c>
      <c r="H37" s="4">
        <f t="shared" si="3"/>
        <v>0.005057226510513707</v>
      </c>
      <c r="I37" s="10">
        <f t="shared" si="0"/>
        <v>0.004287507265563098</v>
      </c>
      <c r="J37" s="21"/>
      <c r="K37" s="24">
        <f t="shared" si="4"/>
        <v>920.721176494074</v>
      </c>
      <c r="L37" s="23"/>
    </row>
    <row r="38" spans="1:12" ht="12.75" outlineLevel="1">
      <c r="A38" s="7" t="s">
        <v>323</v>
      </c>
      <c r="B38" s="8" t="s">
        <v>324</v>
      </c>
      <c r="D38" s="4">
        <f t="shared" si="1"/>
        <v>0</v>
      </c>
      <c r="F38" s="4">
        <f t="shared" si="2"/>
        <v>0</v>
      </c>
      <c r="G38" s="3">
        <f>13</f>
        <v>13</v>
      </c>
      <c r="H38" s="4">
        <f t="shared" si="3"/>
        <v>0.0017301038062283738</v>
      </c>
      <c r="I38" s="10">
        <f t="shared" si="0"/>
        <v>0.0005767012687427913</v>
      </c>
      <c r="J38" s="21"/>
      <c r="K38" s="24">
        <f t="shared" si="4"/>
        <v>123.84377162629758</v>
      </c>
      <c r="L38" s="23"/>
    </row>
    <row r="39" spans="1:12" ht="12.75" outlineLevel="1">
      <c r="A39" s="7" t="s">
        <v>325</v>
      </c>
      <c r="B39" s="8" t="s">
        <v>326</v>
      </c>
      <c r="D39" s="4">
        <f t="shared" si="1"/>
        <v>0</v>
      </c>
      <c r="F39" s="4">
        <f t="shared" si="2"/>
        <v>0</v>
      </c>
      <c r="G39" s="3">
        <f>2</f>
        <v>2</v>
      </c>
      <c r="H39" s="4">
        <f t="shared" si="3"/>
        <v>0.00026616981634282674</v>
      </c>
      <c r="I39" s="10">
        <f aca="true" t="shared" si="5" ref="I39:I70">+(D39+F39+H39)/3</f>
        <v>8.872327211427558E-05</v>
      </c>
      <c r="J39" s="21"/>
      <c r="K39" s="24">
        <f t="shared" si="4"/>
        <v>19.052887942507322</v>
      </c>
      <c r="L39" s="23"/>
    </row>
    <row r="40" spans="1:12" ht="12.75" outlineLevel="1">
      <c r="A40" s="7" t="s">
        <v>327</v>
      </c>
      <c r="B40" s="8" t="s">
        <v>328</v>
      </c>
      <c r="C40" s="3">
        <f>40</f>
        <v>40</v>
      </c>
      <c r="D40" s="4">
        <f t="shared" si="1"/>
        <v>0.009208103130755065</v>
      </c>
      <c r="E40" s="3">
        <f>11</f>
        <v>11</v>
      </c>
      <c r="F40" s="4">
        <f t="shared" si="2"/>
        <v>0.005547150781643974</v>
      </c>
      <c r="G40" s="3">
        <f>10</f>
        <v>10</v>
      </c>
      <c r="H40" s="4">
        <f t="shared" si="3"/>
        <v>0.0013308490817141336</v>
      </c>
      <c r="I40" s="10">
        <f t="shared" si="5"/>
        <v>0.005362034331371057</v>
      </c>
      <c r="J40" s="21"/>
      <c r="K40" s="24">
        <f t="shared" si="4"/>
        <v>1151.4705986937108</v>
      </c>
      <c r="L40" s="23"/>
    </row>
    <row r="41" spans="1:12" ht="12.75" outlineLevel="1">
      <c r="A41" s="7" t="s">
        <v>329</v>
      </c>
      <c r="B41" s="8" t="s">
        <v>330</v>
      </c>
      <c r="D41" s="4">
        <f t="shared" si="1"/>
        <v>0</v>
      </c>
      <c r="E41" s="3">
        <f>3+2</f>
        <v>5</v>
      </c>
      <c r="F41" s="4">
        <f t="shared" si="2"/>
        <v>0.0025214321734745334</v>
      </c>
      <c r="G41" s="3">
        <f>47</f>
        <v>47</v>
      </c>
      <c r="H41" s="4">
        <f t="shared" si="3"/>
        <v>0.006254990684056428</v>
      </c>
      <c r="I41" s="10">
        <f t="shared" si="5"/>
        <v>0.002925474285843654</v>
      </c>
      <c r="J41" s="21"/>
      <c r="K41" s="24">
        <f t="shared" si="4"/>
        <v>628.2312680609241</v>
      </c>
      <c r="L41" s="23"/>
    </row>
    <row r="42" spans="1:12" ht="12.75" outlineLevel="1">
      <c r="A42" s="7" t="s">
        <v>331</v>
      </c>
      <c r="B42" s="8" t="s">
        <v>332</v>
      </c>
      <c r="D42" s="4">
        <f t="shared" si="1"/>
        <v>0</v>
      </c>
      <c r="E42" s="3">
        <f>1</f>
        <v>1</v>
      </c>
      <c r="F42" s="4">
        <f t="shared" si="2"/>
        <v>0.0005042864346949068</v>
      </c>
      <c r="G42" s="3">
        <f>29</f>
        <v>29</v>
      </c>
      <c r="H42" s="4">
        <f t="shared" si="3"/>
        <v>0.0038594623369709873</v>
      </c>
      <c r="I42" s="10">
        <f t="shared" si="5"/>
        <v>0.0014545829238886315</v>
      </c>
      <c r="J42" s="21"/>
      <c r="K42" s="24">
        <f t="shared" si="4"/>
        <v>312.36455544875656</v>
      </c>
      <c r="L42" s="23"/>
    </row>
    <row r="43" spans="1:12" ht="12.75" outlineLevel="1">
      <c r="A43" s="7" t="s">
        <v>333</v>
      </c>
      <c r="B43" s="8" t="s">
        <v>334</v>
      </c>
      <c r="C43" s="3">
        <f>1+95</f>
        <v>96</v>
      </c>
      <c r="D43" s="4">
        <f t="shared" si="1"/>
        <v>0.022099447513812154</v>
      </c>
      <c r="E43" s="3">
        <f>1</f>
        <v>1</v>
      </c>
      <c r="F43" s="4">
        <f t="shared" si="2"/>
        <v>0.0005042864346949068</v>
      </c>
      <c r="G43" s="3">
        <f>37</f>
        <v>37</v>
      </c>
      <c r="H43" s="4">
        <f t="shared" si="3"/>
        <v>0.004924141602342294</v>
      </c>
      <c r="I43" s="10">
        <f t="shared" si="5"/>
        <v>0.009175958516949785</v>
      </c>
      <c r="J43" s="21"/>
      <c r="K43" s="24">
        <f t="shared" si="4"/>
        <v>1970.4921293182333</v>
      </c>
      <c r="L43" s="23"/>
    </row>
    <row r="44" spans="1:12" ht="12.75" outlineLevel="1">
      <c r="A44" s="7" t="s">
        <v>147</v>
      </c>
      <c r="B44" s="8" t="s">
        <v>335</v>
      </c>
      <c r="C44" s="3">
        <f>74+5</f>
        <v>79</v>
      </c>
      <c r="D44" s="4">
        <f t="shared" si="1"/>
        <v>0.01818600368324125</v>
      </c>
      <c r="E44" s="3">
        <f>13+4+2+18+1+34+2+4+4</f>
        <v>82</v>
      </c>
      <c r="F44" s="4">
        <f t="shared" si="2"/>
        <v>0.04135148764498235</v>
      </c>
      <c r="G44" s="3">
        <f>139</f>
        <v>139</v>
      </c>
      <c r="H44" s="4">
        <f t="shared" si="3"/>
        <v>0.018498802235826457</v>
      </c>
      <c r="I44" s="10">
        <f t="shared" si="5"/>
        <v>0.026012097854683353</v>
      </c>
      <c r="J44" s="21"/>
      <c r="K44" s="24">
        <f t="shared" si="4"/>
        <v>5585.970555013762</v>
      </c>
      <c r="L44" s="23"/>
    </row>
    <row r="45" spans="1:12" ht="12.75" outlineLevel="1">
      <c r="A45" s="7" t="s">
        <v>336</v>
      </c>
      <c r="B45" s="8" t="s">
        <v>337</v>
      </c>
      <c r="D45" s="4">
        <f t="shared" si="1"/>
        <v>0</v>
      </c>
      <c r="E45" s="3">
        <f>4+3+2+3+1</f>
        <v>13</v>
      </c>
      <c r="F45" s="4">
        <f t="shared" si="2"/>
        <v>0.006555723651033787</v>
      </c>
      <c r="G45" s="3">
        <f>53</f>
        <v>53</v>
      </c>
      <c r="H45" s="4">
        <f t="shared" si="3"/>
        <v>0.007053500133084908</v>
      </c>
      <c r="I45" s="10">
        <f t="shared" si="5"/>
        <v>0.0045364079280395654</v>
      </c>
      <c r="J45" s="21"/>
      <c r="K45" s="24">
        <f t="shared" si="4"/>
        <v>974.1713741476493</v>
      </c>
      <c r="L45" s="23"/>
    </row>
    <row r="46" spans="1:12" ht="12.75" outlineLevel="1">
      <c r="A46" s="7" t="s">
        <v>338</v>
      </c>
      <c r="B46" s="8" t="s">
        <v>339</v>
      </c>
      <c r="C46" s="3">
        <f>6+6</f>
        <v>12</v>
      </c>
      <c r="D46" s="4">
        <f t="shared" si="1"/>
        <v>0.0027624309392265192</v>
      </c>
      <c r="E46" s="3">
        <v>2</v>
      </c>
      <c r="F46" s="4">
        <f t="shared" si="2"/>
        <v>0.0010085728693898135</v>
      </c>
      <c r="G46" s="3">
        <f>77</f>
        <v>77</v>
      </c>
      <c r="H46" s="4">
        <f t="shared" si="3"/>
        <v>0.010247537929198828</v>
      </c>
      <c r="I46" s="10">
        <f t="shared" si="5"/>
        <v>0.004672847245938388</v>
      </c>
      <c r="J46" s="21"/>
      <c r="K46" s="24">
        <f t="shared" si="4"/>
        <v>1003.4710491137637</v>
      </c>
      <c r="L46" s="23"/>
    </row>
    <row r="47" spans="1:12" ht="12.75" outlineLevel="1">
      <c r="A47" s="7" t="s">
        <v>340</v>
      </c>
      <c r="B47" s="8" t="s">
        <v>341</v>
      </c>
      <c r="C47" s="3">
        <f>4</f>
        <v>4</v>
      </c>
      <c r="D47" s="4">
        <f t="shared" si="1"/>
        <v>0.0009208103130755065</v>
      </c>
      <c r="E47" s="3">
        <f>6</f>
        <v>6</v>
      </c>
      <c r="F47" s="4">
        <f t="shared" si="2"/>
        <v>0.0030257186081694403</v>
      </c>
      <c r="G47" s="3">
        <f>35</f>
        <v>35</v>
      </c>
      <c r="H47" s="4">
        <f t="shared" si="3"/>
        <v>0.004657971785999467</v>
      </c>
      <c r="I47" s="10">
        <f t="shared" si="5"/>
        <v>0.0028681669024148045</v>
      </c>
      <c r="J47" s="21"/>
      <c r="K47" s="24">
        <f t="shared" si="4"/>
        <v>615.9247882757575</v>
      </c>
      <c r="L47" s="23"/>
    </row>
    <row r="48" spans="1:12" ht="12.75" outlineLevel="1">
      <c r="A48" s="7" t="s">
        <v>342</v>
      </c>
      <c r="B48" s="8" t="s">
        <v>343</v>
      </c>
      <c r="C48" s="3">
        <f>8+14</f>
        <v>22</v>
      </c>
      <c r="D48" s="4">
        <f t="shared" si="1"/>
        <v>0.0050644567219152855</v>
      </c>
      <c r="E48" s="3">
        <f>73</f>
        <v>73</v>
      </c>
      <c r="F48" s="4">
        <f t="shared" si="2"/>
        <v>0.03681290973272819</v>
      </c>
      <c r="G48" s="3">
        <f>85</f>
        <v>85</v>
      </c>
      <c r="H48" s="4">
        <f t="shared" si="3"/>
        <v>0.011312217194570135</v>
      </c>
      <c r="I48" s="10">
        <f t="shared" si="5"/>
        <v>0.017729861216404536</v>
      </c>
      <c r="J48" s="21"/>
      <c r="K48" s="24">
        <f t="shared" si="4"/>
        <v>3807.400819902914</v>
      </c>
      <c r="L48" s="23"/>
    </row>
    <row r="49" spans="1:12" ht="12.75" outlineLevel="1">
      <c r="A49" s="7" t="s">
        <v>344</v>
      </c>
      <c r="B49" s="8" t="s">
        <v>345</v>
      </c>
      <c r="D49" s="4">
        <f t="shared" si="1"/>
        <v>0</v>
      </c>
      <c r="E49" s="3">
        <f>4</f>
        <v>4</v>
      </c>
      <c r="F49" s="4">
        <f t="shared" si="2"/>
        <v>0.002017145738779627</v>
      </c>
      <c r="G49" s="3">
        <f>6</f>
        <v>6</v>
      </c>
      <c r="H49" s="4">
        <f t="shared" si="3"/>
        <v>0.0007985094490284802</v>
      </c>
      <c r="I49" s="10">
        <f t="shared" si="5"/>
        <v>0.000938551729269369</v>
      </c>
      <c r="J49" s="21"/>
      <c r="K49" s="24">
        <f t="shared" si="4"/>
        <v>201.54938495712358</v>
      </c>
      <c r="L49" s="23"/>
    </row>
    <row r="50" spans="1:12" ht="12.75" outlineLevel="1">
      <c r="A50" s="7" t="s">
        <v>346</v>
      </c>
      <c r="B50" s="8" t="s">
        <v>347</v>
      </c>
      <c r="D50" s="4">
        <f t="shared" si="1"/>
        <v>0</v>
      </c>
      <c r="E50" s="3">
        <f>8</f>
        <v>8</v>
      </c>
      <c r="F50" s="4">
        <f t="shared" si="2"/>
        <v>0.004034291477559254</v>
      </c>
      <c r="G50" s="3">
        <f>8</f>
        <v>8</v>
      </c>
      <c r="H50" s="4">
        <f t="shared" si="3"/>
        <v>0.001064679265371307</v>
      </c>
      <c r="I50" s="10">
        <f t="shared" si="5"/>
        <v>0.0016996569143101871</v>
      </c>
      <c r="J50" s="21"/>
      <c r="K50" s="24">
        <f t="shared" si="4"/>
        <v>364.9929940292326</v>
      </c>
      <c r="L50" s="23"/>
    </row>
    <row r="51" spans="1:12" ht="12.75" outlineLevel="1">
      <c r="A51" s="7" t="s">
        <v>348</v>
      </c>
      <c r="B51" s="8" t="s">
        <v>349</v>
      </c>
      <c r="D51" s="4">
        <f t="shared" si="1"/>
        <v>0</v>
      </c>
      <c r="E51" s="3">
        <f>3</f>
        <v>3</v>
      </c>
      <c r="F51" s="4">
        <f t="shared" si="2"/>
        <v>0.0015128593040847202</v>
      </c>
      <c r="G51" s="3">
        <f>3</f>
        <v>3</v>
      </c>
      <c r="H51" s="4">
        <f t="shared" si="3"/>
        <v>0.0003992547245142401</v>
      </c>
      <c r="I51" s="10">
        <f t="shared" si="5"/>
        <v>0.0006373713428663202</v>
      </c>
      <c r="J51" s="21"/>
      <c r="K51" s="24">
        <f t="shared" si="4"/>
        <v>136.8723727609622</v>
      </c>
      <c r="L51" s="23"/>
    </row>
    <row r="52" spans="1:12" ht="12.75" outlineLevel="1">
      <c r="A52" s="7" t="s">
        <v>350</v>
      </c>
      <c r="B52" s="8" t="s">
        <v>351</v>
      </c>
      <c r="D52" s="4">
        <f t="shared" si="1"/>
        <v>0</v>
      </c>
      <c r="E52" s="3">
        <v>4</v>
      </c>
      <c r="F52" s="4">
        <f t="shared" si="2"/>
        <v>0.002017145738779627</v>
      </c>
      <c r="G52" s="3">
        <f>17</f>
        <v>17</v>
      </c>
      <c r="H52" s="4">
        <f t="shared" si="3"/>
        <v>0.0022624434389140274</v>
      </c>
      <c r="I52" s="10">
        <f t="shared" si="5"/>
        <v>0.0014265297258978847</v>
      </c>
      <c r="J52" s="21"/>
      <c r="K52" s="24">
        <f t="shared" si="4"/>
        <v>306.34026864091385</v>
      </c>
      <c r="L52" s="23"/>
    </row>
    <row r="53" spans="1:12" ht="12.75" outlineLevel="1">
      <c r="A53" s="7" t="s">
        <v>352</v>
      </c>
      <c r="B53" s="8" t="s">
        <v>353</v>
      </c>
      <c r="C53" s="3">
        <f>1</f>
        <v>1</v>
      </c>
      <c r="D53" s="4">
        <f t="shared" si="1"/>
        <v>0.00023020257826887662</v>
      </c>
      <c r="E53" s="3">
        <f>7</f>
        <v>7</v>
      </c>
      <c r="F53" s="4">
        <f t="shared" si="2"/>
        <v>0.0035300050428643467</v>
      </c>
      <c r="G53" s="3">
        <f>17</f>
        <v>17</v>
      </c>
      <c r="H53" s="4">
        <f t="shared" si="3"/>
        <v>0.0022624434389140274</v>
      </c>
      <c r="I53" s="10">
        <f t="shared" si="5"/>
        <v>0.0020075503533490834</v>
      </c>
      <c r="J53" s="21"/>
      <c r="K53" s="24">
        <f t="shared" si="4"/>
        <v>431.1116013849843</v>
      </c>
      <c r="L53" s="23"/>
    </row>
    <row r="54" spans="1:12" ht="12.75" outlineLevel="1">
      <c r="A54" s="7" t="s">
        <v>354</v>
      </c>
      <c r="B54" s="8" t="s">
        <v>355</v>
      </c>
      <c r="D54" s="4">
        <f t="shared" si="1"/>
        <v>0</v>
      </c>
      <c r="E54" s="3">
        <f>9</f>
        <v>9</v>
      </c>
      <c r="F54" s="4">
        <f t="shared" si="2"/>
        <v>0.0045385779122541605</v>
      </c>
      <c r="G54" s="3">
        <f>85</f>
        <v>85</v>
      </c>
      <c r="H54" s="4">
        <f t="shared" si="3"/>
        <v>0.011312217194570135</v>
      </c>
      <c r="I54" s="10">
        <f t="shared" si="5"/>
        <v>0.0052835983689414326</v>
      </c>
      <c r="J54" s="21"/>
      <c r="K54" s="24">
        <f t="shared" si="4"/>
        <v>1134.6268600981648</v>
      </c>
      <c r="L54" s="23"/>
    </row>
    <row r="55" spans="1:12" ht="12.75" outlineLevel="1">
      <c r="A55" s="7" t="s">
        <v>356</v>
      </c>
      <c r="B55" s="8" t="s">
        <v>357</v>
      </c>
      <c r="C55" s="3">
        <f>7</f>
        <v>7</v>
      </c>
      <c r="D55" s="4">
        <f t="shared" si="1"/>
        <v>0.0016114180478821363</v>
      </c>
      <c r="E55" s="3">
        <f>4</f>
        <v>4</v>
      </c>
      <c r="F55" s="4">
        <f t="shared" si="2"/>
        <v>0.002017145738779627</v>
      </c>
      <c r="G55" s="3">
        <f>35</f>
        <v>35</v>
      </c>
      <c r="H55" s="4">
        <f t="shared" si="3"/>
        <v>0.004657971785999467</v>
      </c>
      <c r="I55" s="10">
        <f t="shared" si="5"/>
        <v>0.0027621785242204103</v>
      </c>
      <c r="J55" s="21"/>
      <c r="K55" s="24">
        <f t="shared" si="4"/>
        <v>593.1643034015644</v>
      </c>
      <c r="L55" s="23"/>
    </row>
    <row r="56" spans="1:12" ht="12.75" outlineLevel="1">
      <c r="A56" s="7" t="s">
        <v>358</v>
      </c>
      <c r="B56" s="8" t="s">
        <v>359</v>
      </c>
      <c r="C56" s="3">
        <f>1+5</f>
        <v>6</v>
      </c>
      <c r="D56" s="4">
        <f t="shared" si="1"/>
        <v>0.0013812154696132596</v>
      </c>
      <c r="E56" s="3">
        <f>8</f>
        <v>8</v>
      </c>
      <c r="F56" s="4">
        <f t="shared" si="2"/>
        <v>0.004034291477559254</v>
      </c>
      <c r="G56" s="3">
        <f>35</f>
        <v>35</v>
      </c>
      <c r="H56" s="4">
        <f t="shared" si="3"/>
        <v>0.004657971785999467</v>
      </c>
      <c r="I56" s="10">
        <f t="shared" si="5"/>
        <v>0.0033578262443906604</v>
      </c>
      <c r="J56" s="21"/>
      <c r="K56" s="24">
        <f t="shared" si="4"/>
        <v>721.0767326342968</v>
      </c>
      <c r="L56" s="23"/>
    </row>
    <row r="57" spans="1:12" ht="12.75" outlineLevel="1">
      <c r="A57" s="7" t="s">
        <v>360</v>
      </c>
      <c r="B57" s="8" t="s">
        <v>361</v>
      </c>
      <c r="C57" s="3">
        <f>243+324</f>
        <v>567</v>
      </c>
      <c r="D57" s="4">
        <f t="shared" si="1"/>
        <v>0.13052486187845305</v>
      </c>
      <c r="F57" s="4">
        <f t="shared" si="2"/>
        <v>0</v>
      </c>
      <c r="G57" s="3">
        <f>10</f>
        <v>10</v>
      </c>
      <c r="H57" s="4">
        <f t="shared" si="3"/>
        <v>0.0013308490817141336</v>
      </c>
      <c r="I57" s="10">
        <f t="shared" si="5"/>
        <v>0.04395190365338906</v>
      </c>
      <c r="J57" s="21"/>
      <c r="K57" s="24">
        <f t="shared" si="4"/>
        <v>9438.4559452374</v>
      </c>
      <c r="L57" s="23"/>
    </row>
    <row r="58" spans="1:12" ht="12.75" outlineLevel="1">
      <c r="A58" s="7" t="s">
        <v>362</v>
      </c>
      <c r="B58" s="8" t="s">
        <v>363</v>
      </c>
      <c r="C58" s="3">
        <f>4+235</f>
        <v>239</v>
      </c>
      <c r="D58" s="4">
        <f t="shared" si="1"/>
        <v>0.05501841620626151</v>
      </c>
      <c r="F58" s="4">
        <f t="shared" si="2"/>
        <v>0</v>
      </c>
      <c r="G58" s="3">
        <f>97</f>
        <v>97</v>
      </c>
      <c r="H58" s="4">
        <f t="shared" si="3"/>
        <v>0.012909236092627096</v>
      </c>
      <c r="I58" s="10">
        <f t="shared" si="5"/>
        <v>0.0226425507662962</v>
      </c>
      <c r="J58" s="21"/>
      <c r="K58" s="24">
        <f t="shared" si="4"/>
        <v>4862.376828563354</v>
      </c>
      <c r="L58" s="23"/>
    </row>
    <row r="59" spans="1:12" ht="12.75" outlineLevel="1">
      <c r="A59" s="7" t="s">
        <v>364</v>
      </c>
      <c r="B59" s="8" t="s">
        <v>365</v>
      </c>
      <c r="D59" s="4">
        <f t="shared" si="1"/>
        <v>0</v>
      </c>
      <c r="F59" s="4">
        <f t="shared" si="2"/>
        <v>0</v>
      </c>
      <c r="G59" s="3">
        <f>13</f>
        <v>13</v>
      </c>
      <c r="H59" s="4">
        <f t="shared" si="3"/>
        <v>0.0017301038062283738</v>
      </c>
      <c r="I59" s="10">
        <f t="shared" si="5"/>
        <v>0.0005767012687427913</v>
      </c>
      <c r="J59" s="21"/>
      <c r="K59" s="24">
        <f t="shared" si="4"/>
        <v>123.84377162629758</v>
      </c>
      <c r="L59" s="23"/>
    </row>
    <row r="60" spans="1:12" ht="12.75" outlineLevel="1">
      <c r="A60" s="7" t="s">
        <v>366</v>
      </c>
      <c r="B60" s="8" t="s">
        <v>367</v>
      </c>
      <c r="C60" s="3">
        <f>214+243</f>
        <v>457</v>
      </c>
      <c r="D60" s="4">
        <f t="shared" si="1"/>
        <v>0.1052025782688766</v>
      </c>
      <c r="E60" s="3">
        <f>409+2</f>
        <v>411</v>
      </c>
      <c r="F60" s="4">
        <f t="shared" si="2"/>
        <v>0.20726172465960666</v>
      </c>
      <c r="G60" s="3">
        <f>802</f>
        <v>802</v>
      </c>
      <c r="H60" s="4">
        <f t="shared" si="3"/>
        <v>0.10673409635347351</v>
      </c>
      <c r="I60" s="10">
        <f t="shared" si="5"/>
        <v>0.13973279976065225</v>
      </c>
      <c r="J60" s="21"/>
      <c r="K60" s="24">
        <f t="shared" si="4"/>
        <v>30006.934057881244</v>
      </c>
      <c r="L60" s="23"/>
    </row>
    <row r="61" spans="1:12" ht="12.75" outlineLevel="1">
      <c r="A61" s="7" t="s">
        <v>368</v>
      </c>
      <c r="B61" s="8" t="s">
        <v>369</v>
      </c>
      <c r="D61" s="4">
        <f t="shared" si="1"/>
        <v>0</v>
      </c>
      <c r="E61" s="3">
        <f>2+1</f>
        <v>3</v>
      </c>
      <c r="F61" s="4">
        <f t="shared" si="2"/>
        <v>0.0015128593040847202</v>
      </c>
      <c r="G61" s="3">
        <f>10</f>
        <v>10</v>
      </c>
      <c r="H61" s="4">
        <f t="shared" si="3"/>
        <v>0.0013308490817141336</v>
      </c>
      <c r="I61" s="10">
        <f t="shared" si="5"/>
        <v>0.0009479027952662846</v>
      </c>
      <c r="J61" s="21"/>
      <c r="K61" s="24">
        <f t="shared" si="4"/>
        <v>203.55748055973783</v>
      </c>
      <c r="L61" s="23"/>
    </row>
    <row r="62" spans="1:12" ht="12.75" outlineLevel="1">
      <c r="A62" s="7" t="s">
        <v>370</v>
      </c>
      <c r="B62" s="8" t="s">
        <v>371</v>
      </c>
      <c r="D62" s="4">
        <f t="shared" si="1"/>
        <v>0</v>
      </c>
      <c r="E62" s="3">
        <f>3+3+3+2</f>
        <v>11</v>
      </c>
      <c r="F62" s="4">
        <f t="shared" si="2"/>
        <v>0.005547150781643974</v>
      </c>
      <c r="G62" s="3">
        <f>158</f>
        <v>158</v>
      </c>
      <c r="H62" s="4">
        <f t="shared" si="3"/>
        <v>0.02102741549108331</v>
      </c>
      <c r="I62" s="10">
        <f t="shared" si="5"/>
        <v>0.008858188757575762</v>
      </c>
      <c r="J62" s="21"/>
      <c r="K62" s="24">
        <f t="shared" si="4"/>
        <v>1902.2526305644828</v>
      </c>
      <c r="L62" s="23"/>
    </row>
    <row r="63" spans="1:12" ht="12.75" outlineLevel="1">
      <c r="A63" s="7" t="s">
        <v>372</v>
      </c>
      <c r="B63" s="8" t="s">
        <v>373</v>
      </c>
      <c r="D63" s="4">
        <f t="shared" si="1"/>
        <v>0</v>
      </c>
      <c r="F63" s="4">
        <f t="shared" si="2"/>
        <v>0</v>
      </c>
      <c r="G63" s="3">
        <f>34</f>
        <v>34</v>
      </c>
      <c r="H63" s="4">
        <f t="shared" si="3"/>
        <v>0.004524886877828055</v>
      </c>
      <c r="I63" s="10">
        <f t="shared" si="5"/>
        <v>0.0015082956259426848</v>
      </c>
      <c r="J63" s="21"/>
      <c r="K63" s="24">
        <f t="shared" si="4"/>
        <v>323.89909502262446</v>
      </c>
      <c r="L63" s="23"/>
    </row>
    <row r="64" spans="1:12" ht="12.75" outlineLevel="1">
      <c r="A64" s="7" t="s">
        <v>560</v>
      </c>
      <c r="B64" s="8" t="s">
        <v>561</v>
      </c>
      <c r="D64" s="4">
        <f t="shared" si="1"/>
        <v>0</v>
      </c>
      <c r="F64" s="4">
        <f t="shared" si="2"/>
        <v>0</v>
      </c>
      <c r="G64" s="3">
        <f>8</f>
        <v>8</v>
      </c>
      <c r="H64" s="4">
        <f t="shared" si="3"/>
        <v>0.001064679265371307</v>
      </c>
      <c r="I64" s="10">
        <f t="shared" si="5"/>
        <v>0.0003548930884571023</v>
      </c>
      <c r="J64" s="21"/>
      <c r="K64" s="24">
        <f t="shared" si="4"/>
        <v>76.21155177002929</v>
      </c>
      <c r="L64" s="23"/>
    </row>
    <row r="65" spans="1:12" ht="12.75" outlineLevel="1">
      <c r="A65" s="7" t="s">
        <v>374</v>
      </c>
      <c r="B65" s="8" t="s">
        <v>375</v>
      </c>
      <c r="C65" s="3">
        <f>1+258</f>
        <v>259</v>
      </c>
      <c r="D65" s="4">
        <f t="shared" si="1"/>
        <v>0.05962246777163904</v>
      </c>
      <c r="E65" s="3">
        <f>14</f>
        <v>14</v>
      </c>
      <c r="F65" s="4">
        <f t="shared" si="2"/>
        <v>0.0070600100857286935</v>
      </c>
      <c r="G65" s="3">
        <f>68</f>
        <v>68</v>
      </c>
      <c r="H65" s="4">
        <f t="shared" si="3"/>
        <v>0.00904977375565611</v>
      </c>
      <c r="I65" s="10">
        <f t="shared" si="5"/>
        <v>0.025244083871007947</v>
      </c>
      <c r="J65" s="21"/>
      <c r="K65" s="24">
        <f t="shared" si="4"/>
        <v>5421.043315287989</v>
      </c>
      <c r="L65" s="23"/>
    </row>
    <row r="66" spans="1:12" ht="12.75" outlineLevel="1">
      <c r="A66" s="7" t="s">
        <v>376</v>
      </c>
      <c r="B66" s="8" t="s">
        <v>377</v>
      </c>
      <c r="C66" s="3">
        <f>2+35</f>
        <v>37</v>
      </c>
      <c r="D66" s="4">
        <f t="shared" si="1"/>
        <v>0.008517495395948435</v>
      </c>
      <c r="F66" s="4">
        <f t="shared" si="2"/>
        <v>0</v>
      </c>
      <c r="G66" s="3">
        <f>55</f>
        <v>55</v>
      </c>
      <c r="H66" s="4">
        <f t="shared" si="3"/>
        <v>0.007319669949427735</v>
      </c>
      <c r="I66" s="10">
        <f t="shared" si="5"/>
        <v>0.0052790551151253905</v>
      </c>
      <c r="J66" s="21"/>
      <c r="K66" s="24">
        <f t="shared" si="4"/>
        <v>1133.6512186031134</v>
      </c>
      <c r="L66" s="23"/>
    </row>
    <row r="67" spans="1:12" ht="12.75" outlineLevel="1">
      <c r="A67" s="7" t="s">
        <v>378</v>
      </c>
      <c r="B67" s="8" t="s">
        <v>379</v>
      </c>
      <c r="C67" s="3">
        <f>64+104</f>
        <v>168</v>
      </c>
      <c r="D67" s="4">
        <f t="shared" si="1"/>
        <v>0.03867403314917127</v>
      </c>
      <c r="E67" s="3">
        <f>264</f>
        <v>264</v>
      </c>
      <c r="F67" s="4">
        <f t="shared" si="2"/>
        <v>0.13313161875945537</v>
      </c>
      <c r="G67" s="3">
        <f>498</f>
        <v>498</v>
      </c>
      <c r="H67" s="4">
        <f t="shared" si="3"/>
        <v>0.06627628426936386</v>
      </c>
      <c r="I67" s="10">
        <f t="shared" si="5"/>
        <v>0.07936064539266349</v>
      </c>
      <c r="J67" s="21"/>
      <c r="K67" s="24">
        <f t="shared" si="4"/>
        <v>17042.30973091206</v>
      </c>
      <c r="L67" s="23"/>
    </row>
    <row r="68" spans="1:12" ht="12.75" outlineLevel="1">
      <c r="A68" s="7" t="s">
        <v>380</v>
      </c>
      <c r="B68" s="8" t="s">
        <v>381</v>
      </c>
      <c r="C68" s="3">
        <f>14+28</f>
        <v>42</v>
      </c>
      <c r="D68" s="4">
        <f t="shared" si="1"/>
        <v>0.009668508287292817</v>
      </c>
      <c r="E68" s="3">
        <f>14</f>
        <v>14</v>
      </c>
      <c r="F68" s="4">
        <f t="shared" si="2"/>
        <v>0.0070600100857286935</v>
      </c>
      <c r="G68" s="3">
        <f>26</f>
        <v>26</v>
      </c>
      <c r="H68" s="4">
        <f t="shared" si="3"/>
        <v>0.0034602076124567475</v>
      </c>
      <c r="I68" s="10">
        <f t="shared" si="5"/>
        <v>0.006729575328492753</v>
      </c>
      <c r="J68" s="21"/>
      <c r="K68" s="24">
        <f t="shared" si="4"/>
        <v>1445.1433268747091</v>
      </c>
      <c r="L68" s="23"/>
    </row>
    <row r="69" spans="1:12" ht="12.75" outlineLevel="1">
      <c r="A69" s="7" t="s">
        <v>592</v>
      </c>
      <c r="B69" s="8" t="s">
        <v>593</v>
      </c>
      <c r="C69" s="3">
        <f>1</f>
        <v>1</v>
      </c>
      <c r="D69" s="4">
        <f t="shared" si="1"/>
        <v>0.00023020257826887662</v>
      </c>
      <c r="E69" s="3">
        <f>10+10</f>
        <v>20</v>
      </c>
      <c r="F69" s="4">
        <f t="shared" si="2"/>
        <v>0.010085728693898134</v>
      </c>
      <c r="G69" s="3">
        <f>20</f>
        <v>20</v>
      </c>
      <c r="H69" s="4">
        <f t="shared" si="3"/>
        <v>0.002661698163428267</v>
      </c>
      <c r="I69" s="10">
        <f t="shared" si="5"/>
        <v>0.004325876478531759</v>
      </c>
      <c r="J69" s="21"/>
      <c r="K69" s="24">
        <f t="shared" si="4"/>
        <v>928.9607769699504</v>
      </c>
      <c r="L69" s="23"/>
    </row>
    <row r="70" spans="1:12" ht="12.75" outlineLevel="1">
      <c r="A70" s="7" t="s">
        <v>382</v>
      </c>
      <c r="B70" s="8" t="s">
        <v>383</v>
      </c>
      <c r="D70" s="4">
        <f t="shared" si="1"/>
        <v>0</v>
      </c>
      <c r="E70" s="3">
        <f>3+2+2+1</f>
        <v>8</v>
      </c>
      <c r="F70" s="4">
        <f t="shared" si="2"/>
        <v>0.004034291477559254</v>
      </c>
      <c r="G70" s="3">
        <f>95</f>
        <v>95</v>
      </c>
      <c r="H70" s="4">
        <f t="shared" si="3"/>
        <v>0.01264306627628427</v>
      </c>
      <c r="I70" s="10">
        <f t="shared" si="5"/>
        <v>0.005559119251281174</v>
      </c>
      <c r="J70" s="21"/>
      <c r="K70" s="24">
        <f t="shared" si="4"/>
        <v>1193.793619528301</v>
      </c>
      <c r="L70" s="23"/>
    </row>
    <row r="71" spans="1:12" ht="12.75" outlineLevel="1">
      <c r="A71" s="7" t="s">
        <v>384</v>
      </c>
      <c r="B71" s="8" t="s">
        <v>385</v>
      </c>
      <c r="C71" s="3">
        <f>257</f>
        <v>257</v>
      </c>
      <c r="D71" s="4">
        <f t="shared" si="1"/>
        <v>0.05916206261510129</v>
      </c>
      <c r="E71" s="3">
        <f>5+3+2+7</f>
        <v>17</v>
      </c>
      <c r="F71" s="4">
        <f t="shared" si="2"/>
        <v>0.008572869389813415</v>
      </c>
      <c r="G71" s="3">
        <f>138</f>
        <v>138</v>
      </c>
      <c r="H71" s="4">
        <f t="shared" si="3"/>
        <v>0.018365717327655046</v>
      </c>
      <c r="I71" s="10">
        <f aca="true" t="shared" si="6" ref="I71:I99">+(D71+F71+H71)/3</f>
        <v>0.028700216444189918</v>
      </c>
      <c r="J71" s="21"/>
      <c r="K71" s="24">
        <f t="shared" si="4"/>
        <v>6163.230850329209</v>
      </c>
      <c r="L71" s="23"/>
    </row>
    <row r="72" spans="1:12" ht="12.75" outlineLevel="1">
      <c r="A72" s="7" t="s">
        <v>582</v>
      </c>
      <c r="B72" s="8" t="s">
        <v>583</v>
      </c>
      <c r="D72" s="4">
        <f aca="true" t="shared" si="7" ref="D72:D98">C72/$C$99</f>
        <v>0</v>
      </c>
      <c r="E72" s="3">
        <f>1</f>
        <v>1</v>
      </c>
      <c r="F72" s="4">
        <f aca="true" t="shared" si="8" ref="F72:F98">E72/$E$99</f>
        <v>0.0005042864346949068</v>
      </c>
      <c r="G72" s="3">
        <f>1</f>
        <v>1</v>
      </c>
      <c r="H72" s="4">
        <f aca="true" t="shared" si="9" ref="H72:H98">G72/$G$99</f>
        <v>0.00013308490817141337</v>
      </c>
      <c r="I72" s="10">
        <f t="shared" si="6"/>
        <v>0.0002124571142887734</v>
      </c>
      <c r="J72" s="21"/>
      <c r="K72" s="24">
        <f aca="true" t="shared" si="10" ref="K72:K98">$K$99*I72</f>
        <v>45.624124253654074</v>
      </c>
      <c r="L72" s="23"/>
    </row>
    <row r="73" spans="1:12" ht="12.75" outlineLevel="1">
      <c r="A73" s="7" t="s">
        <v>386</v>
      </c>
      <c r="B73" s="8" t="s">
        <v>387</v>
      </c>
      <c r="C73" s="3">
        <f>100+151</f>
        <v>251</v>
      </c>
      <c r="D73" s="4">
        <f t="shared" si="7"/>
        <v>0.05778084714548803</v>
      </c>
      <c r="E73" s="3">
        <f>178+1+2+1+2+1</f>
        <v>185</v>
      </c>
      <c r="F73" s="4">
        <f t="shared" si="8"/>
        <v>0.09329299041855774</v>
      </c>
      <c r="G73" s="3">
        <f>436</f>
        <v>436</v>
      </c>
      <c r="H73" s="4">
        <f t="shared" si="9"/>
        <v>0.05802501996273623</v>
      </c>
      <c r="I73" s="10">
        <f t="shared" si="6"/>
        <v>0.069699619175594</v>
      </c>
      <c r="J73" s="21"/>
      <c r="K73" s="24">
        <f t="shared" si="10"/>
        <v>14967.651689824852</v>
      </c>
      <c r="L73" s="23"/>
    </row>
    <row r="74" spans="1:12" ht="12.75" outlineLevel="1">
      <c r="A74" s="7" t="s">
        <v>388</v>
      </c>
      <c r="B74" s="8" t="s">
        <v>389</v>
      </c>
      <c r="D74" s="4">
        <f t="shared" si="7"/>
        <v>0</v>
      </c>
      <c r="E74" s="3">
        <f>6</f>
        <v>6</v>
      </c>
      <c r="F74" s="4">
        <f t="shared" si="8"/>
        <v>0.0030257186081694403</v>
      </c>
      <c r="G74" s="3">
        <f>10</f>
        <v>10</v>
      </c>
      <c r="H74" s="4">
        <f t="shared" si="9"/>
        <v>0.0013308490817141336</v>
      </c>
      <c r="I74" s="10">
        <f t="shared" si="6"/>
        <v>0.0014521892299611914</v>
      </c>
      <c r="J74" s="21"/>
      <c r="K74" s="24">
        <f t="shared" si="10"/>
        <v>311.85052140693904</v>
      </c>
      <c r="L74" s="23"/>
    </row>
    <row r="75" spans="1:12" ht="12.75" outlineLevel="1">
      <c r="A75" s="7" t="s">
        <v>390</v>
      </c>
      <c r="B75" s="8" t="s">
        <v>391</v>
      </c>
      <c r="D75" s="4">
        <f t="shared" si="7"/>
        <v>0</v>
      </c>
      <c r="E75" s="3">
        <f>4+1</f>
        <v>5</v>
      </c>
      <c r="F75" s="4">
        <f t="shared" si="8"/>
        <v>0.0025214321734745334</v>
      </c>
      <c r="G75" s="3">
        <f>88</f>
        <v>88</v>
      </c>
      <c r="H75" s="4">
        <f t="shared" si="9"/>
        <v>0.011711471919084376</v>
      </c>
      <c r="I75" s="10">
        <f t="shared" si="6"/>
        <v>0.004744301364186303</v>
      </c>
      <c r="J75" s="21"/>
      <c r="K75" s="24">
        <f t="shared" si="10"/>
        <v>1018.815470882324</v>
      </c>
      <c r="L75" s="23"/>
    </row>
    <row r="76" spans="1:12" ht="12.75" outlineLevel="1">
      <c r="A76" s="7" t="s">
        <v>392</v>
      </c>
      <c r="B76" s="8" t="s">
        <v>393</v>
      </c>
      <c r="D76" s="4">
        <f t="shared" si="7"/>
        <v>0</v>
      </c>
      <c r="E76" s="3">
        <f>1</f>
        <v>1</v>
      </c>
      <c r="F76" s="4">
        <f t="shared" si="8"/>
        <v>0.0005042864346949068</v>
      </c>
      <c r="G76" s="3">
        <f>33</f>
        <v>33</v>
      </c>
      <c r="H76" s="4">
        <f t="shared" si="9"/>
        <v>0.004391801969656641</v>
      </c>
      <c r="I76" s="10">
        <f t="shared" si="6"/>
        <v>0.0016320294681171825</v>
      </c>
      <c r="J76" s="21"/>
      <c r="K76" s="24">
        <f t="shared" si="10"/>
        <v>350.4703313337712</v>
      </c>
      <c r="L76" s="23"/>
    </row>
    <row r="77" spans="1:12" ht="12.75" outlineLevel="1">
      <c r="A77" s="7" t="s">
        <v>394</v>
      </c>
      <c r="B77" s="8" t="s">
        <v>395</v>
      </c>
      <c r="C77" s="3">
        <f>7</f>
        <v>7</v>
      </c>
      <c r="D77" s="4">
        <f t="shared" si="7"/>
        <v>0.0016114180478821363</v>
      </c>
      <c r="E77" s="3">
        <f>10</f>
        <v>10</v>
      </c>
      <c r="F77" s="4">
        <f t="shared" si="8"/>
        <v>0.005042864346949067</v>
      </c>
      <c r="G77" s="3">
        <f>50</f>
        <v>50</v>
      </c>
      <c r="H77" s="4">
        <f t="shared" si="9"/>
        <v>0.006654245408570668</v>
      </c>
      <c r="I77" s="10">
        <f t="shared" si="6"/>
        <v>0.0044361759344672905</v>
      </c>
      <c r="J77" s="21"/>
      <c r="K77" s="24">
        <f t="shared" si="10"/>
        <v>952.6470446647718</v>
      </c>
      <c r="L77" s="23"/>
    </row>
    <row r="78" spans="1:12" ht="12.75" outlineLevel="1">
      <c r="A78" s="7" t="s">
        <v>396</v>
      </c>
      <c r="B78" s="8" t="s">
        <v>397</v>
      </c>
      <c r="D78" s="4">
        <f t="shared" si="7"/>
        <v>0</v>
      </c>
      <c r="F78" s="4">
        <f t="shared" si="8"/>
        <v>0</v>
      </c>
      <c r="G78" s="3">
        <f>17</f>
        <v>17</v>
      </c>
      <c r="H78" s="4">
        <f t="shared" si="9"/>
        <v>0.0022624434389140274</v>
      </c>
      <c r="I78" s="10">
        <f t="shared" si="6"/>
        <v>0.0007541478129713424</v>
      </c>
      <c r="J78" s="21"/>
      <c r="K78" s="24">
        <f t="shared" si="10"/>
        <v>161.94954751131223</v>
      </c>
      <c r="L78" s="23"/>
    </row>
    <row r="79" spans="1:12" ht="12.75" outlineLevel="1">
      <c r="A79" s="7" t="s">
        <v>398</v>
      </c>
      <c r="B79" s="8" t="s">
        <v>558</v>
      </c>
      <c r="D79" s="4">
        <f t="shared" si="7"/>
        <v>0</v>
      </c>
      <c r="E79" s="3">
        <f>2+4+4</f>
        <v>10</v>
      </c>
      <c r="F79" s="4">
        <f t="shared" si="8"/>
        <v>0.005042864346949067</v>
      </c>
      <c r="G79" s="3">
        <f>12+100</f>
        <v>112</v>
      </c>
      <c r="H79" s="4">
        <f t="shared" si="9"/>
        <v>0.014905509715198297</v>
      </c>
      <c r="I79" s="10">
        <f t="shared" si="6"/>
        <v>0.006649458020715788</v>
      </c>
      <c r="J79" s="21"/>
      <c r="K79" s="24">
        <f t="shared" si="10"/>
        <v>1427.938527604414</v>
      </c>
      <c r="L79" s="23"/>
    </row>
    <row r="80" spans="1:12" ht="12.75" outlineLevel="1">
      <c r="A80" s="7" t="s">
        <v>399</v>
      </c>
      <c r="B80" s="8" t="s">
        <v>400</v>
      </c>
      <c r="D80" s="4">
        <f t="shared" si="7"/>
        <v>0</v>
      </c>
      <c r="F80" s="4">
        <f t="shared" si="8"/>
        <v>0</v>
      </c>
      <c r="G80" s="3">
        <f>61</f>
        <v>61</v>
      </c>
      <c r="H80" s="4">
        <f t="shared" si="9"/>
        <v>0.008118179398456216</v>
      </c>
      <c r="I80" s="10">
        <f t="shared" si="6"/>
        <v>0.002706059799485405</v>
      </c>
      <c r="J80" s="21"/>
      <c r="K80" s="24">
        <f t="shared" si="10"/>
        <v>581.1130822464733</v>
      </c>
      <c r="L80" s="23"/>
    </row>
    <row r="81" spans="1:12" ht="12.75" outlineLevel="1">
      <c r="A81" s="7" t="s">
        <v>401</v>
      </c>
      <c r="B81" s="8" t="s">
        <v>402</v>
      </c>
      <c r="D81" s="4">
        <f t="shared" si="7"/>
        <v>0</v>
      </c>
      <c r="E81" s="3">
        <f>1</f>
        <v>1</v>
      </c>
      <c r="F81" s="4">
        <f t="shared" si="8"/>
        <v>0.0005042864346949068</v>
      </c>
      <c r="G81" s="3">
        <f>16</f>
        <v>16</v>
      </c>
      <c r="H81" s="4">
        <f t="shared" si="9"/>
        <v>0.002129358530742614</v>
      </c>
      <c r="I81" s="10">
        <f t="shared" si="6"/>
        <v>0.0008778816551458403</v>
      </c>
      <c r="J81" s="21"/>
      <c r="K81" s="24">
        <f t="shared" si="10"/>
        <v>188.520783822459</v>
      </c>
      <c r="L81" s="23"/>
    </row>
    <row r="82" spans="1:12" ht="12.75" outlineLevel="1">
      <c r="A82" s="7" t="s">
        <v>403</v>
      </c>
      <c r="B82" s="8" t="s">
        <v>404</v>
      </c>
      <c r="D82" s="4">
        <f t="shared" si="7"/>
        <v>0</v>
      </c>
      <c r="F82" s="4">
        <f t="shared" si="8"/>
        <v>0</v>
      </c>
      <c r="G82" s="3">
        <f>4</f>
        <v>4</v>
      </c>
      <c r="H82" s="4">
        <f t="shared" si="9"/>
        <v>0.0005323396326856535</v>
      </c>
      <c r="I82" s="10">
        <f t="shared" si="6"/>
        <v>0.00017744654422855116</v>
      </c>
      <c r="J82" s="21"/>
      <c r="K82" s="24">
        <f t="shared" si="10"/>
        <v>38.105775885014644</v>
      </c>
      <c r="L82" s="23"/>
    </row>
    <row r="83" spans="1:12" ht="12.75" outlineLevel="1">
      <c r="A83" s="7" t="s">
        <v>405</v>
      </c>
      <c r="B83" s="8" t="s">
        <v>406</v>
      </c>
      <c r="D83" s="4">
        <f t="shared" si="7"/>
        <v>0</v>
      </c>
      <c r="F83" s="4">
        <f t="shared" si="8"/>
        <v>0</v>
      </c>
      <c r="G83" s="3">
        <f>25</f>
        <v>25</v>
      </c>
      <c r="H83" s="4">
        <f t="shared" si="9"/>
        <v>0.003327122704285334</v>
      </c>
      <c r="I83" s="10">
        <f t="shared" si="6"/>
        <v>0.0011090409014284446</v>
      </c>
      <c r="J83" s="21"/>
      <c r="K83" s="24">
        <f t="shared" si="10"/>
        <v>238.16109928134148</v>
      </c>
      <c r="L83" s="23"/>
    </row>
    <row r="84" spans="1:12" ht="12.75" outlineLevel="1">
      <c r="A84" s="7" t="s">
        <v>407</v>
      </c>
      <c r="B84" s="8" t="s">
        <v>408</v>
      </c>
      <c r="C84" s="3">
        <f>3</f>
        <v>3</v>
      </c>
      <c r="D84" s="4">
        <f t="shared" si="7"/>
        <v>0.0006906077348066298</v>
      </c>
      <c r="E84" s="3">
        <f>11+1</f>
        <v>12</v>
      </c>
      <c r="F84" s="4">
        <f t="shared" si="8"/>
        <v>0.006051437216338881</v>
      </c>
      <c r="G84" s="3">
        <f>56</f>
        <v>56</v>
      </c>
      <c r="H84" s="4">
        <f t="shared" si="9"/>
        <v>0.007452754857599149</v>
      </c>
      <c r="I84" s="10">
        <f t="shared" si="6"/>
        <v>0.00473159993624822</v>
      </c>
      <c r="J84" s="21"/>
      <c r="K84" s="24">
        <f t="shared" si="10"/>
        <v>1016.0879014696177</v>
      </c>
      <c r="L84" s="23"/>
    </row>
    <row r="85" spans="1:12" ht="12.75" outlineLevel="1">
      <c r="A85" s="7" t="s">
        <v>409</v>
      </c>
      <c r="B85" s="8" t="s">
        <v>410</v>
      </c>
      <c r="C85" s="3">
        <f>1</f>
        <v>1</v>
      </c>
      <c r="D85" s="4">
        <f t="shared" si="7"/>
        <v>0.00023020257826887662</v>
      </c>
      <c r="E85" s="3">
        <f>1</f>
        <v>1</v>
      </c>
      <c r="F85" s="4">
        <f t="shared" si="8"/>
        <v>0.0005042864346949068</v>
      </c>
      <c r="G85" s="3">
        <f>4</f>
        <v>4</v>
      </c>
      <c r="H85" s="4">
        <f t="shared" si="9"/>
        <v>0.0005323396326856535</v>
      </c>
      <c r="I85" s="10">
        <f t="shared" si="6"/>
        <v>0.000422276215216479</v>
      </c>
      <c r="J85" s="21"/>
      <c r="K85" s="24">
        <f t="shared" si="10"/>
        <v>90.6817480642843</v>
      </c>
      <c r="L85" s="23"/>
    </row>
    <row r="86" spans="1:12" ht="12.75" outlineLevel="1">
      <c r="A86" s="7" t="s">
        <v>411</v>
      </c>
      <c r="B86" s="8" t="s">
        <v>412</v>
      </c>
      <c r="C86" s="3">
        <f>62</f>
        <v>62</v>
      </c>
      <c r="D86" s="4">
        <f t="shared" si="7"/>
        <v>0.01427255985267035</v>
      </c>
      <c r="E86" s="3">
        <f>6</f>
        <v>6</v>
      </c>
      <c r="F86" s="4">
        <f t="shared" si="8"/>
        <v>0.0030257186081694403</v>
      </c>
      <c r="G86" s="3">
        <f>50</f>
        <v>50</v>
      </c>
      <c r="H86" s="4">
        <f t="shared" si="9"/>
        <v>0.006654245408570668</v>
      </c>
      <c r="I86" s="10">
        <f t="shared" si="6"/>
        <v>0.007984174623136818</v>
      </c>
      <c r="J86" s="21"/>
      <c r="K86" s="24">
        <f t="shared" si="10"/>
        <v>1714.5623778629783</v>
      </c>
      <c r="L86" s="23"/>
    </row>
    <row r="87" spans="1:12" ht="12.75" outlineLevel="1">
      <c r="A87" s="7" t="s">
        <v>413</v>
      </c>
      <c r="B87" s="8" t="s">
        <v>414</v>
      </c>
      <c r="C87" s="3">
        <f>2+184</f>
        <v>186</v>
      </c>
      <c r="D87" s="4">
        <f t="shared" si="7"/>
        <v>0.04281767955801105</v>
      </c>
      <c r="E87" s="3">
        <f>3+1+1+1+10</f>
        <v>16</v>
      </c>
      <c r="F87" s="4">
        <f t="shared" si="8"/>
        <v>0.008068582955118508</v>
      </c>
      <c r="G87" s="3">
        <f>97</f>
        <v>97</v>
      </c>
      <c r="H87" s="4">
        <f t="shared" si="9"/>
        <v>0.012909236092627096</v>
      </c>
      <c r="I87" s="10">
        <f t="shared" si="6"/>
        <v>0.021265166201918886</v>
      </c>
      <c r="J87" s="21"/>
      <c r="K87" s="24">
        <f t="shared" si="10"/>
        <v>4566.590242547692</v>
      </c>
      <c r="L87" s="23"/>
    </row>
    <row r="88" spans="1:12" ht="12.75" outlineLevel="1">
      <c r="A88" s="7" t="s">
        <v>415</v>
      </c>
      <c r="B88" s="8" t="s">
        <v>416</v>
      </c>
      <c r="D88" s="4">
        <f t="shared" si="7"/>
        <v>0</v>
      </c>
      <c r="F88" s="4">
        <f t="shared" si="8"/>
        <v>0</v>
      </c>
      <c r="G88" s="3">
        <f>36</f>
        <v>36</v>
      </c>
      <c r="H88" s="4">
        <f t="shared" si="9"/>
        <v>0.004791056694170881</v>
      </c>
      <c r="I88" s="10">
        <f t="shared" si="6"/>
        <v>0.0015970188980569601</v>
      </c>
      <c r="J88" s="21"/>
      <c r="K88" s="24">
        <f t="shared" si="10"/>
        <v>342.9519829651317</v>
      </c>
      <c r="L88" s="23"/>
    </row>
    <row r="89" spans="1:12" ht="12.75" outlineLevel="1">
      <c r="A89" s="7" t="s">
        <v>417</v>
      </c>
      <c r="B89" s="8" t="s">
        <v>418</v>
      </c>
      <c r="D89" s="4">
        <f t="shared" si="7"/>
        <v>0</v>
      </c>
      <c r="F89" s="4">
        <f t="shared" si="8"/>
        <v>0</v>
      </c>
      <c r="G89" s="3">
        <f>14</f>
        <v>14</v>
      </c>
      <c r="H89" s="4">
        <f t="shared" si="9"/>
        <v>0.0018631887143997872</v>
      </c>
      <c r="I89" s="10">
        <f t="shared" si="6"/>
        <v>0.000621062904799929</v>
      </c>
      <c r="J89" s="21"/>
      <c r="K89" s="24">
        <f t="shared" si="10"/>
        <v>133.37021559755124</v>
      </c>
      <c r="L89" s="23"/>
    </row>
    <row r="90" spans="1:12" ht="12.75" outlineLevel="1">
      <c r="A90" s="7" t="s">
        <v>419</v>
      </c>
      <c r="B90" s="8" t="s">
        <v>420</v>
      </c>
      <c r="D90" s="4">
        <f t="shared" si="7"/>
        <v>0</v>
      </c>
      <c r="F90" s="4">
        <f t="shared" si="8"/>
        <v>0</v>
      </c>
      <c r="G90" s="3">
        <f>58</f>
        <v>58</v>
      </c>
      <c r="H90" s="4">
        <f t="shared" si="9"/>
        <v>0.0077189246739419745</v>
      </c>
      <c r="I90" s="10">
        <f t="shared" si="6"/>
        <v>0.0025729748913139914</v>
      </c>
      <c r="J90" s="21"/>
      <c r="K90" s="24">
        <f t="shared" si="10"/>
        <v>552.5337503327122</v>
      </c>
      <c r="L90" s="23"/>
    </row>
    <row r="91" spans="1:12" ht="12.75" outlineLevel="1">
      <c r="A91" s="7" t="s">
        <v>421</v>
      </c>
      <c r="B91" s="8" t="s">
        <v>422</v>
      </c>
      <c r="C91" s="3">
        <f>190</f>
        <v>190</v>
      </c>
      <c r="D91" s="4">
        <f t="shared" si="7"/>
        <v>0.043738489871086556</v>
      </c>
      <c r="E91" s="3">
        <f>4+4+4+4+4+4+4</f>
        <v>28</v>
      </c>
      <c r="F91" s="4">
        <f t="shared" si="8"/>
        <v>0.014120020171457387</v>
      </c>
      <c r="G91" s="3">
        <f>98</f>
        <v>98</v>
      </c>
      <c r="H91" s="4">
        <f t="shared" si="9"/>
        <v>0.01304232100079851</v>
      </c>
      <c r="I91" s="10">
        <f t="shared" si="6"/>
        <v>0.023633610347780817</v>
      </c>
      <c r="J91" s="21"/>
      <c r="K91" s="24">
        <f t="shared" si="10"/>
        <v>5075.202017495227</v>
      </c>
      <c r="L91" s="23"/>
    </row>
    <row r="92" spans="1:12" ht="12.75" outlineLevel="1">
      <c r="A92" s="7" t="s">
        <v>423</v>
      </c>
      <c r="B92" s="8" t="s">
        <v>424</v>
      </c>
      <c r="D92" s="4">
        <f t="shared" si="7"/>
        <v>0</v>
      </c>
      <c r="E92" s="3">
        <f>8+2+14</f>
        <v>24</v>
      </c>
      <c r="F92" s="4">
        <f t="shared" si="8"/>
        <v>0.012102874432677761</v>
      </c>
      <c r="G92" s="3">
        <f>124</f>
        <v>124</v>
      </c>
      <c r="H92" s="4">
        <f t="shared" si="9"/>
        <v>0.016502528613255258</v>
      </c>
      <c r="I92" s="10">
        <f t="shared" si="6"/>
        <v>0.00953513434864434</v>
      </c>
      <c r="J92" s="21"/>
      <c r="K92" s="24">
        <f t="shared" si="10"/>
        <v>2047.6233792130636</v>
      </c>
      <c r="L92" s="23"/>
    </row>
    <row r="93" spans="1:12" ht="12.75" outlineLevel="1">
      <c r="A93" s="7" t="s">
        <v>425</v>
      </c>
      <c r="B93" s="8" t="s">
        <v>426</v>
      </c>
      <c r="C93" s="3">
        <f>90</f>
        <v>90</v>
      </c>
      <c r="D93" s="4">
        <f t="shared" si="7"/>
        <v>0.020718232044198894</v>
      </c>
      <c r="F93" s="4">
        <f t="shared" si="8"/>
        <v>0</v>
      </c>
      <c r="G93" s="3">
        <f>636</f>
        <v>636</v>
      </c>
      <c r="H93" s="4">
        <f t="shared" si="9"/>
        <v>0.0846420015970189</v>
      </c>
      <c r="I93" s="10">
        <f t="shared" si="6"/>
        <v>0.035120077880405935</v>
      </c>
      <c r="J93" s="21"/>
      <c r="K93" s="24">
        <f t="shared" si="10"/>
        <v>7541.864636435561</v>
      </c>
      <c r="L93" s="23"/>
    </row>
    <row r="94" spans="1:12" ht="12.75" outlineLevel="1">
      <c r="A94" s="7" t="s">
        <v>427</v>
      </c>
      <c r="B94" s="8" t="s">
        <v>428</v>
      </c>
      <c r="C94" s="3">
        <f>2+2</f>
        <v>4</v>
      </c>
      <c r="D94" s="4">
        <f t="shared" si="7"/>
        <v>0.0009208103130755065</v>
      </c>
      <c r="E94" s="3">
        <f>1+1+1+2+1+1+2+1</f>
        <v>10</v>
      </c>
      <c r="F94" s="4">
        <f t="shared" si="8"/>
        <v>0.005042864346949067</v>
      </c>
      <c r="G94" s="3">
        <f>68</f>
        <v>68</v>
      </c>
      <c r="H94" s="4">
        <f t="shared" si="9"/>
        <v>0.00904977375565611</v>
      </c>
      <c r="I94" s="10">
        <f t="shared" si="6"/>
        <v>0.005004482805226894</v>
      </c>
      <c r="J94" s="21"/>
      <c r="K94" s="24">
        <f t="shared" si="10"/>
        <v>1074.68816045673</v>
      </c>
      <c r="L94" s="23"/>
    </row>
    <row r="95" spans="1:12" ht="12.75" outlineLevel="1">
      <c r="A95" s="7" t="s">
        <v>429</v>
      </c>
      <c r="B95" s="8" t="s">
        <v>430</v>
      </c>
      <c r="C95" s="3">
        <f>6+152</f>
        <v>158</v>
      </c>
      <c r="D95" s="4">
        <f t="shared" si="7"/>
        <v>0.0363720073664825</v>
      </c>
      <c r="E95" s="3">
        <f>2+1</f>
        <v>3</v>
      </c>
      <c r="F95" s="4">
        <f t="shared" si="8"/>
        <v>0.0015128593040847202</v>
      </c>
      <c r="G95" s="3">
        <f>647</f>
        <v>647</v>
      </c>
      <c r="H95" s="4">
        <f t="shared" si="9"/>
        <v>0.08610593558690445</v>
      </c>
      <c r="I95" s="10">
        <f t="shared" si="6"/>
        <v>0.04133026741915722</v>
      </c>
      <c r="J95" s="21"/>
      <c r="K95" s="24">
        <f t="shared" si="10"/>
        <v>8875.47240995366</v>
      </c>
      <c r="L95" s="23"/>
    </row>
    <row r="96" spans="1:12" ht="12.75" outlineLevel="1">
      <c r="A96" s="7" t="s">
        <v>431</v>
      </c>
      <c r="B96" s="8" t="s">
        <v>432</v>
      </c>
      <c r="D96" s="4">
        <f t="shared" si="7"/>
        <v>0</v>
      </c>
      <c r="F96" s="4">
        <f t="shared" si="8"/>
        <v>0</v>
      </c>
      <c r="G96" s="3">
        <f>8</f>
        <v>8</v>
      </c>
      <c r="H96" s="4">
        <f t="shared" si="9"/>
        <v>0.001064679265371307</v>
      </c>
      <c r="I96" s="10">
        <f t="shared" si="6"/>
        <v>0.0003548930884571023</v>
      </c>
      <c r="J96" s="21"/>
      <c r="K96" s="24">
        <f t="shared" si="10"/>
        <v>76.21155177002929</v>
      </c>
      <c r="L96" s="23"/>
    </row>
    <row r="97" spans="1:12" ht="12.75" outlineLevel="1">
      <c r="A97" s="7" t="s">
        <v>433</v>
      </c>
      <c r="B97" s="8" t="s">
        <v>434</v>
      </c>
      <c r="D97" s="4">
        <f t="shared" si="7"/>
        <v>0</v>
      </c>
      <c r="E97" s="3">
        <f>1</f>
        <v>1</v>
      </c>
      <c r="F97" s="4">
        <f t="shared" si="8"/>
        <v>0.0005042864346949068</v>
      </c>
      <c r="G97" s="3">
        <f>13</f>
        <v>13</v>
      </c>
      <c r="H97" s="4">
        <f t="shared" si="9"/>
        <v>0.0017301038062283738</v>
      </c>
      <c r="I97" s="10">
        <f t="shared" si="6"/>
        <v>0.0007447967469744269</v>
      </c>
      <c r="J97" s="21"/>
      <c r="K97" s="24">
        <f t="shared" si="10"/>
        <v>159.941451908698</v>
      </c>
      <c r="L97" s="23"/>
    </row>
    <row r="98" spans="1:12" ht="12.75" outlineLevel="1">
      <c r="A98" s="7" t="s">
        <v>435</v>
      </c>
      <c r="B98" s="8" t="s">
        <v>436</v>
      </c>
      <c r="C98" s="3">
        <f>28</f>
        <v>28</v>
      </c>
      <c r="D98" s="4">
        <f t="shared" si="7"/>
        <v>0.006445672191528545</v>
      </c>
      <c r="F98" s="4">
        <f t="shared" si="8"/>
        <v>0</v>
      </c>
      <c r="G98" s="3">
        <f>16</f>
        <v>16</v>
      </c>
      <c r="H98" s="4">
        <f t="shared" si="9"/>
        <v>0.002129358530742614</v>
      </c>
      <c r="I98" s="10">
        <f t="shared" si="6"/>
        <v>0.002858343574090386</v>
      </c>
      <c r="J98" s="21"/>
      <c r="K98" s="24">
        <f t="shared" si="10"/>
        <v>613.8152766523974</v>
      </c>
      <c r="L98" s="23"/>
    </row>
    <row r="99" spans="1:12" ht="13.5" thickBot="1">
      <c r="A99" s="14" t="s">
        <v>437</v>
      </c>
      <c r="B99" s="17"/>
      <c r="C99" s="1">
        <f aca="true" t="shared" si="11" ref="C99:H99">SUM(C7:C98)</f>
        <v>4344</v>
      </c>
      <c r="D99" s="15">
        <f t="shared" si="11"/>
        <v>1.0000000000000002</v>
      </c>
      <c r="E99" s="1">
        <f t="shared" si="11"/>
        <v>1983</v>
      </c>
      <c r="F99" s="15">
        <f t="shared" si="11"/>
        <v>1.0000000000000002</v>
      </c>
      <c r="G99" s="1">
        <f t="shared" si="11"/>
        <v>7514</v>
      </c>
      <c r="H99" s="15">
        <f t="shared" si="11"/>
        <v>1.0000000000000004</v>
      </c>
      <c r="I99" s="10">
        <f t="shared" si="6"/>
        <v>1.0000000000000002</v>
      </c>
      <c r="J99" s="25"/>
      <c r="K99" s="26">
        <f>'FY11 to FY10 Comparison'!K14:L14</f>
        <v>214745.1</v>
      </c>
      <c r="L99" s="27"/>
    </row>
    <row r="101" ht="12.75">
      <c r="K101" s="80">
        <f>SUM(K7:K98)</f>
        <v>214745.10000000003</v>
      </c>
    </row>
  </sheetData>
  <mergeCells count="2">
    <mergeCell ref="J3:L4"/>
    <mergeCell ref="J5:L5"/>
  </mergeCells>
  <printOptions/>
  <pageMargins left="0.75" right="0.75" top="1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Row="1"/>
  <cols>
    <col min="1" max="1" width="29.8515625" style="7" bestFit="1" customWidth="1"/>
    <col min="2" max="2" width="7.57421875" style="8" hidden="1" customWidth="1"/>
    <col min="3" max="3" width="7.28125" style="3" hidden="1" customWidth="1"/>
    <col min="4" max="4" width="7.281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>
      <c r="A1" s="1" t="s">
        <v>0</v>
      </c>
      <c r="B1" s="2"/>
    </row>
    <row r="2" spans="1:2" ht="13.5" thickBot="1">
      <c r="A2" s="1" t="s">
        <v>584</v>
      </c>
      <c r="B2" s="2"/>
    </row>
    <row r="3" spans="7:12" ht="12.75">
      <c r="G3" s="3" t="s">
        <v>585</v>
      </c>
      <c r="J3" s="133" t="s">
        <v>1</v>
      </c>
      <c r="K3" s="134"/>
      <c r="L3" s="135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6"/>
      <c r="K4" s="137"/>
      <c r="L4" s="138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39" t="s">
        <v>610</v>
      </c>
      <c r="K5" s="140"/>
      <c r="L5" s="141"/>
    </row>
    <row r="6" spans="1:12" ht="12.75">
      <c r="A6" s="1" t="s">
        <v>438</v>
      </c>
      <c r="B6" s="2"/>
      <c r="I6" s="10"/>
      <c r="J6" s="21"/>
      <c r="K6" s="24"/>
      <c r="L6" s="23"/>
    </row>
    <row r="7" spans="1:12" ht="12.75" outlineLevel="1">
      <c r="A7" s="7" t="s">
        <v>439</v>
      </c>
      <c r="B7" s="8" t="s">
        <v>440</v>
      </c>
      <c r="C7" s="3">
        <f>18+22</f>
        <v>40</v>
      </c>
      <c r="D7" s="4">
        <f>C7/$C$14</f>
        <v>1</v>
      </c>
      <c r="E7" s="3">
        <f>5+10+2+2+1+20</f>
        <v>40</v>
      </c>
      <c r="F7" s="4">
        <f>E7/$E$14</f>
        <v>0.5714285714285714</v>
      </c>
      <c r="G7" s="3">
        <f>80</f>
        <v>80</v>
      </c>
      <c r="H7" s="4">
        <f>G7/$G$14</f>
        <v>0.22857142857142856</v>
      </c>
      <c r="I7" s="10">
        <f aca="true" t="shared" si="0" ref="I7:I14">+(D7+F7+H7)/3</f>
        <v>0.6</v>
      </c>
      <c r="J7" s="21"/>
      <c r="K7" s="24">
        <f>$K$14*I7</f>
        <v>3607.716</v>
      </c>
      <c r="L7" s="23"/>
    </row>
    <row r="8" spans="1:12" ht="12.75" outlineLevel="1">
      <c r="A8" s="7" t="s">
        <v>570</v>
      </c>
      <c r="B8" s="8" t="s">
        <v>571</v>
      </c>
      <c r="D8" s="4">
        <f aca="true" t="shared" si="1" ref="D8:D13">C8/$C$14</f>
        <v>0</v>
      </c>
      <c r="F8" s="4">
        <f aca="true" t="shared" si="2" ref="F8:F13">E8/$E$14</f>
        <v>0</v>
      </c>
      <c r="G8" s="3">
        <f>19</f>
        <v>19</v>
      </c>
      <c r="H8" s="4">
        <f aca="true" t="shared" si="3" ref="H8:H13">G8/$G$14</f>
        <v>0.054285714285714284</v>
      </c>
      <c r="I8" s="10">
        <f t="shared" si="0"/>
        <v>0.018095238095238095</v>
      </c>
      <c r="J8" s="21"/>
      <c r="K8" s="24">
        <f aca="true" t="shared" si="4" ref="K8:K13">$K$14*I8</f>
        <v>108.80413333333333</v>
      </c>
      <c r="L8" s="23"/>
    </row>
    <row r="9" spans="1:12" ht="12.75" outlineLevel="1">
      <c r="A9" s="7" t="s">
        <v>85</v>
      </c>
      <c r="B9" s="8" t="s">
        <v>565</v>
      </c>
      <c r="D9" s="4">
        <f t="shared" si="1"/>
        <v>0</v>
      </c>
      <c r="F9" s="4">
        <f t="shared" si="2"/>
        <v>0</v>
      </c>
      <c r="G9" s="3">
        <f>6</f>
        <v>6</v>
      </c>
      <c r="H9" s="4">
        <f t="shared" si="3"/>
        <v>0.017142857142857144</v>
      </c>
      <c r="I9" s="10">
        <f t="shared" si="0"/>
        <v>0.005714285714285714</v>
      </c>
      <c r="J9" s="21"/>
      <c r="K9" s="24">
        <f t="shared" si="4"/>
        <v>34.3592</v>
      </c>
      <c r="L9" s="23"/>
    </row>
    <row r="10" spans="1:12" ht="12.75" outlineLevel="1">
      <c r="A10" s="7" t="s">
        <v>23</v>
      </c>
      <c r="B10" s="8" t="s">
        <v>441</v>
      </c>
      <c r="D10" s="4">
        <f t="shared" si="1"/>
        <v>0</v>
      </c>
      <c r="E10" s="3">
        <f>1+1</f>
        <v>2</v>
      </c>
      <c r="F10" s="4">
        <f t="shared" si="2"/>
        <v>0.02857142857142857</v>
      </c>
      <c r="G10" s="3">
        <f>95</f>
        <v>95</v>
      </c>
      <c r="H10" s="4">
        <f t="shared" si="3"/>
        <v>0.2714285714285714</v>
      </c>
      <c r="I10" s="10">
        <f t="shared" si="0"/>
        <v>0.09999999999999999</v>
      </c>
      <c r="J10" s="21"/>
      <c r="K10" s="24">
        <f t="shared" si="4"/>
        <v>601.286</v>
      </c>
      <c r="L10" s="23"/>
    </row>
    <row r="11" spans="1:12" ht="12.75" outlineLevel="1">
      <c r="A11" s="7" t="s">
        <v>147</v>
      </c>
      <c r="B11" s="8" t="s">
        <v>442</v>
      </c>
      <c r="D11" s="4">
        <f t="shared" si="1"/>
        <v>0</v>
      </c>
      <c r="E11" s="3">
        <f>12+3+3+4+2</f>
        <v>24</v>
      </c>
      <c r="F11" s="4">
        <f t="shared" si="2"/>
        <v>0.34285714285714286</v>
      </c>
      <c r="G11" s="3">
        <f>146</f>
        <v>146</v>
      </c>
      <c r="H11" s="4">
        <f t="shared" si="3"/>
        <v>0.41714285714285715</v>
      </c>
      <c r="I11" s="10">
        <f t="shared" si="0"/>
        <v>0.25333333333333335</v>
      </c>
      <c r="J11" s="21"/>
      <c r="K11" s="24">
        <f t="shared" si="4"/>
        <v>1523.2578666666668</v>
      </c>
      <c r="L11" s="23"/>
    </row>
    <row r="12" spans="1:12" ht="12.75" outlineLevel="1">
      <c r="A12" s="7" t="s">
        <v>566</v>
      </c>
      <c r="B12" s="8" t="s">
        <v>567</v>
      </c>
      <c r="D12" s="4">
        <f t="shared" si="1"/>
        <v>0</v>
      </c>
      <c r="E12" s="3">
        <f>4</f>
        <v>4</v>
      </c>
      <c r="F12" s="4">
        <f t="shared" si="2"/>
        <v>0.05714285714285714</v>
      </c>
      <c r="H12" s="4">
        <f t="shared" si="3"/>
        <v>0</v>
      </c>
      <c r="I12" s="10">
        <f t="shared" si="0"/>
        <v>0.019047619047619046</v>
      </c>
      <c r="J12" s="21"/>
      <c r="K12" s="24">
        <f t="shared" si="4"/>
        <v>114.53066666666665</v>
      </c>
      <c r="L12" s="23"/>
    </row>
    <row r="13" spans="1:12" ht="12.75" outlineLevel="1">
      <c r="A13" s="7" t="s">
        <v>443</v>
      </c>
      <c r="B13" s="8" t="s">
        <v>444</v>
      </c>
      <c r="D13" s="4">
        <f t="shared" si="1"/>
        <v>0</v>
      </c>
      <c r="F13" s="4">
        <f t="shared" si="2"/>
        <v>0</v>
      </c>
      <c r="G13" s="3">
        <f>4</f>
        <v>4</v>
      </c>
      <c r="H13" s="4">
        <f t="shared" si="3"/>
        <v>0.011428571428571429</v>
      </c>
      <c r="I13" s="10">
        <f t="shared" si="0"/>
        <v>0.0038095238095238095</v>
      </c>
      <c r="J13" s="21"/>
      <c r="K13" s="24">
        <f t="shared" si="4"/>
        <v>22.906133333333333</v>
      </c>
      <c r="L13" s="23"/>
    </row>
    <row r="14" spans="1:12" ht="13.5" thickBot="1">
      <c r="A14" s="14" t="s">
        <v>445</v>
      </c>
      <c r="B14" s="17"/>
      <c r="C14" s="1">
        <f aca="true" t="shared" si="5" ref="C14:H14">SUM(C7:C13)</f>
        <v>40</v>
      </c>
      <c r="D14" s="15">
        <f t="shared" si="5"/>
        <v>1</v>
      </c>
      <c r="E14" s="1">
        <f t="shared" si="5"/>
        <v>70</v>
      </c>
      <c r="F14" s="15">
        <f t="shared" si="5"/>
        <v>1</v>
      </c>
      <c r="G14" s="1">
        <f t="shared" si="5"/>
        <v>350</v>
      </c>
      <c r="H14" s="15">
        <f t="shared" si="5"/>
        <v>1</v>
      </c>
      <c r="I14" s="10">
        <f t="shared" si="0"/>
        <v>1</v>
      </c>
      <c r="J14" s="25"/>
      <c r="K14" s="26">
        <f>'FY11 to FY10 Comparison'!K16:L16</f>
        <v>6012.86</v>
      </c>
      <c r="L14" s="27"/>
    </row>
    <row r="16" ht="12.75">
      <c r="K16" s="80">
        <f>SUM(K7:K13)</f>
        <v>6012.86</v>
      </c>
    </row>
  </sheetData>
  <mergeCells count="2">
    <mergeCell ref="J3:L4"/>
    <mergeCell ref="J5:L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Row="1"/>
  <cols>
    <col min="1" max="1" width="43.57421875" style="7" bestFit="1" customWidth="1"/>
    <col min="2" max="2" width="7.5742187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584</v>
      </c>
      <c r="B2" s="2"/>
    </row>
    <row r="3" spans="7:12" ht="12.75">
      <c r="G3" s="3" t="s">
        <v>585</v>
      </c>
      <c r="J3" s="133" t="s">
        <v>1</v>
      </c>
      <c r="K3" s="134"/>
      <c r="L3" s="135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6"/>
      <c r="K4" s="137"/>
      <c r="L4" s="138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39" t="s">
        <v>610</v>
      </c>
      <c r="K5" s="140"/>
      <c r="L5" s="141"/>
    </row>
    <row r="6" spans="1:12" ht="12.75">
      <c r="A6" s="1" t="s">
        <v>446</v>
      </c>
      <c r="B6" s="2"/>
      <c r="J6" s="21"/>
      <c r="K6" s="24"/>
      <c r="L6" s="23"/>
    </row>
    <row r="7" spans="1:12" ht="12.75" outlineLevel="1">
      <c r="A7" s="7" t="s">
        <v>447</v>
      </c>
      <c r="B7" s="8" t="s">
        <v>448</v>
      </c>
      <c r="D7" s="4">
        <f>C7/$C$21</f>
        <v>0</v>
      </c>
      <c r="F7" s="4">
        <f>E7/$E$21</f>
        <v>0</v>
      </c>
      <c r="G7" s="3">
        <f>77</f>
        <v>77</v>
      </c>
      <c r="H7" s="4">
        <f>G7/$G$21</f>
        <v>0.037782139352306184</v>
      </c>
      <c r="I7" s="10">
        <f aca="true" t="shared" si="0" ref="I7:I21">+(D7+F7+H7)/3</f>
        <v>0.012594046450768727</v>
      </c>
      <c r="J7" s="21"/>
      <c r="K7" s="24">
        <f>$K$21*I7</f>
        <v>314.6245943735688</v>
      </c>
      <c r="L7" s="23"/>
    </row>
    <row r="8" spans="1:12" ht="12.75" outlineLevel="1">
      <c r="A8" s="7" t="s">
        <v>449</v>
      </c>
      <c r="B8" s="8" t="s">
        <v>450</v>
      </c>
      <c r="D8" s="4">
        <f aca="true" t="shared" si="1" ref="D8:D20">C8/$C$21</f>
        <v>0</v>
      </c>
      <c r="F8" s="4">
        <f aca="true" t="shared" si="2" ref="F8:F20">E8/$E$21</f>
        <v>0</v>
      </c>
      <c r="G8" s="3">
        <f>47</f>
        <v>47</v>
      </c>
      <c r="H8" s="4">
        <f aca="true" t="shared" si="3" ref="H8:H20">G8/$G$21</f>
        <v>0.023061825318940136</v>
      </c>
      <c r="I8" s="10">
        <f t="shared" si="0"/>
        <v>0.007687275106313379</v>
      </c>
      <c r="J8" s="21"/>
      <c r="K8" s="24">
        <f aca="true" t="shared" si="4" ref="K8:K20">$K$21*I8</f>
        <v>192.04358357867187</v>
      </c>
      <c r="L8" s="23"/>
    </row>
    <row r="9" spans="1:12" ht="12.75" outlineLevel="1">
      <c r="A9" s="7" t="s">
        <v>451</v>
      </c>
      <c r="B9" s="8" t="s">
        <v>452</v>
      </c>
      <c r="D9" s="4">
        <f t="shared" si="1"/>
        <v>0</v>
      </c>
      <c r="E9" s="3">
        <f>3+3</f>
        <v>6</v>
      </c>
      <c r="F9" s="4">
        <f t="shared" si="2"/>
        <v>0.02857142857142857</v>
      </c>
      <c r="G9" s="3">
        <f>482</f>
        <v>482</v>
      </c>
      <c r="H9" s="4">
        <f t="shared" si="3"/>
        <v>0.2365063788027478</v>
      </c>
      <c r="I9" s="10">
        <f t="shared" si="0"/>
        <v>0.08835926912472546</v>
      </c>
      <c r="J9" s="21"/>
      <c r="K9" s="24">
        <f t="shared" si="4"/>
        <v>2207.3921448665824</v>
      </c>
      <c r="L9" s="23"/>
    </row>
    <row r="10" spans="1:12" ht="12.75" outlineLevel="1">
      <c r="A10" s="7" t="s">
        <v>453</v>
      </c>
      <c r="B10" s="8" t="s">
        <v>454</v>
      </c>
      <c r="D10" s="4">
        <f t="shared" si="1"/>
        <v>0</v>
      </c>
      <c r="F10" s="4">
        <f t="shared" si="2"/>
        <v>0</v>
      </c>
      <c r="G10" s="3">
        <f>30</f>
        <v>30</v>
      </c>
      <c r="H10" s="4">
        <f t="shared" si="3"/>
        <v>0.014720314033366046</v>
      </c>
      <c r="I10" s="10">
        <f t="shared" si="0"/>
        <v>0.004906771344455349</v>
      </c>
      <c r="J10" s="21"/>
      <c r="K10" s="24">
        <f t="shared" si="4"/>
        <v>122.58101079489695</v>
      </c>
      <c r="L10" s="23"/>
    </row>
    <row r="11" spans="1:12" ht="12.75" outlineLevel="1">
      <c r="A11" s="7" t="s">
        <v>586</v>
      </c>
      <c r="B11" s="8" t="s">
        <v>587</v>
      </c>
      <c r="D11" s="4">
        <f t="shared" si="1"/>
        <v>0</v>
      </c>
      <c r="E11" s="3">
        <f>5+1+1+3</f>
        <v>10</v>
      </c>
      <c r="F11" s="4">
        <f t="shared" si="2"/>
        <v>0.047619047619047616</v>
      </c>
      <c r="G11" s="3">
        <f>10</f>
        <v>10</v>
      </c>
      <c r="H11" s="4">
        <f t="shared" si="3"/>
        <v>0.004906771344455349</v>
      </c>
      <c r="I11" s="10">
        <f t="shared" si="0"/>
        <v>0.017508606321167654</v>
      </c>
      <c r="J11" s="21"/>
      <c r="K11" s="24">
        <f t="shared" si="4"/>
        <v>437.4001782014735</v>
      </c>
      <c r="L11" s="23"/>
    </row>
    <row r="12" spans="1:12" ht="12.75" outlineLevel="1">
      <c r="A12" s="7" t="s">
        <v>455</v>
      </c>
      <c r="B12" s="8" t="s">
        <v>456</v>
      </c>
      <c r="D12" s="4">
        <f t="shared" si="1"/>
        <v>0</v>
      </c>
      <c r="F12" s="4">
        <f t="shared" si="2"/>
        <v>0</v>
      </c>
      <c r="G12" s="3">
        <f>38</f>
        <v>38</v>
      </c>
      <c r="H12" s="4">
        <f t="shared" si="3"/>
        <v>0.018645731108930325</v>
      </c>
      <c r="I12" s="10">
        <f t="shared" si="0"/>
        <v>0.006215243702976775</v>
      </c>
      <c r="J12" s="21"/>
      <c r="K12" s="24">
        <f t="shared" si="4"/>
        <v>155.2692803402028</v>
      </c>
      <c r="L12" s="23"/>
    </row>
    <row r="13" spans="1:12" ht="12.75" outlineLevel="1">
      <c r="A13" s="7" t="s">
        <v>457</v>
      </c>
      <c r="B13" s="8" t="s">
        <v>458</v>
      </c>
      <c r="D13" s="4">
        <f t="shared" si="1"/>
        <v>0</v>
      </c>
      <c r="E13" s="3">
        <f>24+1</f>
        <v>25</v>
      </c>
      <c r="F13" s="4">
        <f t="shared" si="2"/>
        <v>0.11904761904761904</v>
      </c>
      <c r="G13" s="3">
        <f>24</f>
        <v>24</v>
      </c>
      <c r="H13" s="4">
        <f t="shared" si="3"/>
        <v>0.011776251226692836</v>
      </c>
      <c r="I13" s="10">
        <f t="shared" si="0"/>
        <v>0.043607956758103965</v>
      </c>
      <c r="J13" s="21"/>
      <c r="K13" s="24">
        <f t="shared" si="4"/>
        <v>1089.4144118105207</v>
      </c>
      <c r="L13" s="23"/>
    </row>
    <row r="14" spans="1:12" ht="12.75" outlineLevel="1">
      <c r="A14" s="7" t="s">
        <v>588</v>
      </c>
      <c r="B14" s="8" t="s">
        <v>589</v>
      </c>
      <c r="D14" s="4">
        <f t="shared" si="1"/>
        <v>0</v>
      </c>
      <c r="E14" s="3">
        <f>26</f>
        <v>26</v>
      </c>
      <c r="F14" s="4">
        <f t="shared" si="2"/>
        <v>0.12380952380952381</v>
      </c>
      <c r="G14" s="3">
        <f>26</f>
        <v>26</v>
      </c>
      <c r="H14" s="4">
        <f t="shared" si="3"/>
        <v>0.012757605495583905</v>
      </c>
      <c r="I14" s="10">
        <f t="shared" si="0"/>
        <v>0.045522376435035906</v>
      </c>
      <c r="J14" s="21"/>
      <c r="K14" s="24">
        <f t="shared" si="4"/>
        <v>1137.2404633238314</v>
      </c>
      <c r="L14" s="23"/>
    </row>
    <row r="15" spans="1:12" ht="12.75" outlineLevel="1">
      <c r="A15" s="7" t="s">
        <v>459</v>
      </c>
      <c r="B15" s="8" t="s">
        <v>460</v>
      </c>
      <c r="C15" s="3">
        <f>73+36</f>
        <v>109</v>
      </c>
      <c r="D15" s="4">
        <f t="shared" si="1"/>
        <v>0.9396551724137931</v>
      </c>
      <c r="E15" s="3">
        <f>18+11+2+12+11+30+8+13</f>
        <v>105</v>
      </c>
      <c r="F15" s="4">
        <f t="shared" si="2"/>
        <v>0.5</v>
      </c>
      <c r="G15" s="3">
        <f>1100</f>
        <v>1100</v>
      </c>
      <c r="H15" s="4">
        <f t="shared" si="3"/>
        <v>0.5397448478900884</v>
      </c>
      <c r="I15" s="10">
        <f t="shared" si="0"/>
        <v>0.6598000067679605</v>
      </c>
      <c r="J15" s="21"/>
      <c r="K15" s="24">
        <f t="shared" si="4"/>
        <v>16483.130367077254</v>
      </c>
      <c r="L15" s="23"/>
    </row>
    <row r="16" spans="1:12" ht="12.75" outlineLevel="1">
      <c r="A16" s="7" t="s">
        <v>461</v>
      </c>
      <c r="B16" s="8" t="s">
        <v>462</v>
      </c>
      <c r="D16" s="4">
        <f t="shared" si="1"/>
        <v>0</v>
      </c>
      <c r="E16" s="3">
        <f>2+1+1</f>
        <v>4</v>
      </c>
      <c r="F16" s="4">
        <f t="shared" si="2"/>
        <v>0.01904761904761905</v>
      </c>
      <c r="G16" s="3">
        <f>109</f>
        <v>109</v>
      </c>
      <c r="H16" s="4">
        <f t="shared" si="3"/>
        <v>0.0534838076545633</v>
      </c>
      <c r="I16" s="10">
        <f t="shared" si="0"/>
        <v>0.024177142234060783</v>
      </c>
      <c r="J16" s="21"/>
      <c r="K16" s="24">
        <f t="shared" si="4"/>
        <v>603.9936090627288</v>
      </c>
      <c r="L16" s="23"/>
    </row>
    <row r="17" spans="1:12" ht="12.75" outlineLevel="1">
      <c r="A17" s="7" t="s">
        <v>56</v>
      </c>
      <c r="B17" s="8" t="s">
        <v>57</v>
      </c>
      <c r="D17" s="4">
        <f t="shared" si="1"/>
        <v>0</v>
      </c>
      <c r="E17" s="3">
        <f>9+2+8+1</f>
        <v>20</v>
      </c>
      <c r="F17" s="4">
        <f t="shared" si="2"/>
        <v>0.09523809523809523</v>
      </c>
      <c r="G17" s="3">
        <f>29</f>
        <v>29</v>
      </c>
      <c r="H17" s="4">
        <f t="shared" si="3"/>
        <v>0.01422963689892051</v>
      </c>
      <c r="I17" s="10">
        <f t="shared" si="0"/>
        <v>0.036489244045671915</v>
      </c>
      <c r="J17" s="21"/>
      <c r="K17" s="24">
        <f t="shared" si="4"/>
        <v>911.5746596414161</v>
      </c>
      <c r="L17" s="23"/>
    </row>
    <row r="18" spans="1:12" ht="12.75" outlineLevel="1">
      <c r="A18" s="7" t="s">
        <v>72</v>
      </c>
      <c r="B18" s="8" t="s">
        <v>73</v>
      </c>
      <c r="D18" s="4">
        <f t="shared" si="1"/>
        <v>0</v>
      </c>
      <c r="F18" s="4">
        <f t="shared" si="2"/>
        <v>0</v>
      </c>
      <c r="G18" s="3">
        <f>20</f>
        <v>20</v>
      </c>
      <c r="H18" s="4">
        <f t="shared" si="3"/>
        <v>0.009813542688910697</v>
      </c>
      <c r="I18" s="10">
        <f t="shared" si="0"/>
        <v>0.003271180896303566</v>
      </c>
      <c r="J18" s="21"/>
      <c r="K18" s="24">
        <f t="shared" si="4"/>
        <v>81.72067386326464</v>
      </c>
      <c r="L18" s="23"/>
    </row>
    <row r="19" spans="1:12" ht="12.75" outlineLevel="1">
      <c r="A19" s="7" t="s">
        <v>80</v>
      </c>
      <c r="B19" s="8" t="s">
        <v>81</v>
      </c>
      <c r="C19" s="3">
        <f>1+6</f>
        <v>7</v>
      </c>
      <c r="D19" s="4">
        <f t="shared" si="1"/>
        <v>0.0603448275862069</v>
      </c>
      <c r="E19" s="3">
        <f>5+1</f>
        <v>6</v>
      </c>
      <c r="F19" s="4">
        <f t="shared" si="2"/>
        <v>0.02857142857142857</v>
      </c>
      <c r="G19" s="3">
        <f>21</f>
        <v>21</v>
      </c>
      <c r="H19" s="4">
        <f t="shared" si="3"/>
        <v>0.010304219823356232</v>
      </c>
      <c r="I19" s="10">
        <f t="shared" si="0"/>
        <v>0.033073491993663905</v>
      </c>
      <c r="J19" s="21"/>
      <c r="K19" s="24">
        <f t="shared" si="4"/>
        <v>826.2423077206315</v>
      </c>
      <c r="L19" s="23"/>
    </row>
    <row r="20" spans="1:12" ht="12.75" outlineLevel="1">
      <c r="A20" s="7" t="s">
        <v>463</v>
      </c>
      <c r="B20" s="8" t="s">
        <v>464</v>
      </c>
      <c r="D20" s="4">
        <f t="shared" si="1"/>
        <v>0</v>
      </c>
      <c r="E20" s="3">
        <f>3+5</f>
        <v>8</v>
      </c>
      <c r="F20" s="4">
        <f t="shared" si="2"/>
        <v>0.0380952380952381</v>
      </c>
      <c r="G20" s="3">
        <f>25</f>
        <v>25</v>
      </c>
      <c r="H20" s="4">
        <f t="shared" si="3"/>
        <v>0.01226692836113837</v>
      </c>
      <c r="I20" s="10">
        <f t="shared" si="0"/>
        <v>0.016787388818792156</v>
      </c>
      <c r="J20" s="21"/>
      <c r="K20" s="24">
        <f t="shared" si="4"/>
        <v>419.3827153449538</v>
      </c>
      <c r="L20" s="23"/>
    </row>
    <row r="21" spans="1:12" ht="13.5" thickBot="1">
      <c r="A21" s="20" t="s">
        <v>608</v>
      </c>
      <c r="B21" s="17"/>
      <c r="C21" s="1">
        <f aca="true" t="shared" si="5" ref="C21:H21">SUM(C7:C20)</f>
        <v>116</v>
      </c>
      <c r="D21" s="15">
        <f t="shared" si="5"/>
        <v>1</v>
      </c>
      <c r="E21" s="1">
        <f t="shared" si="5"/>
        <v>210</v>
      </c>
      <c r="F21" s="15">
        <f t="shared" si="5"/>
        <v>1</v>
      </c>
      <c r="G21" s="1">
        <f t="shared" si="5"/>
        <v>2038</v>
      </c>
      <c r="H21" s="15">
        <f t="shared" si="5"/>
        <v>1</v>
      </c>
      <c r="I21" s="10">
        <f t="shared" si="0"/>
        <v>1</v>
      </c>
      <c r="J21" s="25"/>
      <c r="K21" s="26">
        <f>'FY11 to FY10 Comparison'!K18:L18</f>
        <v>24982.01</v>
      </c>
      <c r="L21" s="27"/>
    </row>
    <row r="22" ht="12.75">
      <c r="A22" s="28" t="s">
        <v>609</v>
      </c>
    </row>
    <row r="23" ht="12.75">
      <c r="K23" s="80">
        <f>SUM(K7:K20)</f>
        <v>24982.009999999995</v>
      </c>
    </row>
  </sheetData>
  <mergeCells count="2">
    <mergeCell ref="J3:L4"/>
    <mergeCell ref="J5:L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outlineLevelRow="1"/>
  <cols>
    <col min="1" max="1" width="41.00390625" style="7" bestFit="1" customWidth="1"/>
    <col min="2" max="2" width="12.28125" style="8" bestFit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584</v>
      </c>
      <c r="B2" s="2"/>
    </row>
    <row r="3" spans="7:12" ht="12.75">
      <c r="G3" s="3" t="s">
        <v>585</v>
      </c>
      <c r="J3" s="133" t="s">
        <v>1</v>
      </c>
      <c r="K3" s="134"/>
      <c r="L3" s="135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6"/>
      <c r="K4" s="137"/>
      <c r="L4" s="138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39" t="s">
        <v>610</v>
      </c>
      <c r="K5" s="140"/>
      <c r="L5" s="141"/>
    </row>
    <row r="6" spans="1:12" ht="12.75">
      <c r="A6" s="1" t="s">
        <v>465</v>
      </c>
      <c r="B6" s="2"/>
      <c r="J6" s="21"/>
      <c r="K6" s="24"/>
      <c r="L6" s="23"/>
    </row>
    <row r="7" spans="1:12" ht="12.75" outlineLevel="1">
      <c r="A7" s="7" t="s">
        <v>465</v>
      </c>
      <c r="B7" s="8" t="s">
        <v>466</v>
      </c>
      <c r="C7" s="3">
        <f>1106+894</f>
        <v>2000</v>
      </c>
      <c r="D7" s="4">
        <f>C7/$C$26</f>
        <v>0.5709391949757351</v>
      </c>
      <c r="F7" s="4">
        <f>E7/$E$26</f>
        <v>0</v>
      </c>
      <c r="G7" s="3">
        <f>29+9</f>
        <v>38</v>
      </c>
      <c r="H7" s="4">
        <f>G7/$G$26</f>
        <v>0.006328059950041632</v>
      </c>
      <c r="I7" s="10">
        <f aca="true" t="shared" si="0" ref="I7:I26">+(D7+F7+H7)/3</f>
        <v>0.19242241830859222</v>
      </c>
      <c r="J7" s="21"/>
      <c r="K7" s="24">
        <f>$K$26*I7</f>
        <v>27368.787035699068</v>
      </c>
      <c r="L7" s="23"/>
    </row>
    <row r="8" spans="1:12" ht="12.75" outlineLevel="1">
      <c r="A8" s="7" t="s">
        <v>467</v>
      </c>
      <c r="B8" s="8" t="s">
        <v>468</v>
      </c>
      <c r="D8" s="4">
        <f aca="true" t="shared" si="1" ref="D8:D25">C8/$C$26</f>
        <v>0</v>
      </c>
      <c r="F8" s="4">
        <f aca="true" t="shared" si="2" ref="F8:F25">E8/$E$26</f>
        <v>0</v>
      </c>
      <c r="G8" s="3">
        <f>91</f>
        <v>91</v>
      </c>
      <c r="H8" s="4">
        <f aca="true" t="shared" si="3" ref="H8:H25">G8/$G$26</f>
        <v>0.015154038301415488</v>
      </c>
      <c r="I8" s="10">
        <f t="shared" si="0"/>
        <v>0.00505134610047183</v>
      </c>
      <c r="J8" s="21"/>
      <c r="K8" s="24">
        <f aca="true" t="shared" si="4" ref="K8:K25">$K$26*I8</f>
        <v>718.4673016930336</v>
      </c>
      <c r="L8" s="23"/>
    </row>
    <row r="9" spans="1:12" ht="12.75" outlineLevel="1">
      <c r="A9" s="7" t="s">
        <v>469</v>
      </c>
      <c r="B9" s="8" t="s">
        <v>470</v>
      </c>
      <c r="C9" s="3">
        <f>345+392</f>
        <v>737</v>
      </c>
      <c r="D9" s="4">
        <f t="shared" si="1"/>
        <v>0.21039109334855838</v>
      </c>
      <c r="E9" s="3">
        <f>7+7+2+1+6</f>
        <v>23</v>
      </c>
      <c r="F9" s="4">
        <f t="shared" si="2"/>
        <v>0.027446300715990454</v>
      </c>
      <c r="G9" s="3">
        <f>55</f>
        <v>55</v>
      </c>
      <c r="H9" s="4">
        <f t="shared" si="3"/>
        <v>0.009159034138218152</v>
      </c>
      <c r="I9" s="10">
        <f t="shared" si="0"/>
        <v>0.08233214273425567</v>
      </c>
      <c r="J9" s="21"/>
      <c r="K9" s="24">
        <f t="shared" si="4"/>
        <v>11710.334484378549</v>
      </c>
      <c r="L9" s="23"/>
    </row>
    <row r="10" spans="1:12" ht="12.75" outlineLevel="1">
      <c r="A10" s="7" t="s">
        <v>471</v>
      </c>
      <c r="B10" s="8" t="s">
        <v>472</v>
      </c>
      <c r="D10" s="4">
        <f t="shared" si="1"/>
        <v>0</v>
      </c>
      <c r="F10" s="4">
        <f t="shared" si="2"/>
        <v>0</v>
      </c>
      <c r="G10" s="3">
        <f>39</f>
        <v>39</v>
      </c>
      <c r="H10" s="4">
        <f t="shared" si="3"/>
        <v>0.00649458784346378</v>
      </c>
      <c r="I10" s="10">
        <f t="shared" si="0"/>
        <v>0.0021648626144879267</v>
      </c>
      <c r="J10" s="21"/>
      <c r="K10" s="24">
        <f t="shared" si="4"/>
        <v>307.91455786844296</v>
      </c>
      <c r="L10" s="23"/>
    </row>
    <row r="11" spans="1:12" ht="12.75" outlineLevel="1">
      <c r="A11" s="7" t="s">
        <v>473</v>
      </c>
      <c r="B11" s="8" t="s">
        <v>474</v>
      </c>
      <c r="D11" s="4">
        <f t="shared" si="1"/>
        <v>0</v>
      </c>
      <c r="E11" s="3">
        <f>17+12+10+26+4+1+6+3+23+7+4+1+5+1+3+3+4+3+1+1+4+1+1+1+1+8+1+1+1+1+1+1+1+1+1+1+1+1+1+1+3+1+2+1+5+1+1+1+3+1+3+1+2+1+2+1+17+7+1+3+1+1+1+1+1+3+2</f>
        <v>232</v>
      </c>
      <c r="F11" s="4">
        <f t="shared" si="2"/>
        <v>0.27684964200477324</v>
      </c>
      <c r="G11" s="3">
        <v>2613</v>
      </c>
      <c r="H11" s="4">
        <f t="shared" si="3"/>
        <v>0.43513738551207326</v>
      </c>
      <c r="I11" s="10">
        <f t="shared" si="0"/>
        <v>0.23732900917228217</v>
      </c>
      <c r="J11" s="21"/>
      <c r="K11" s="24">
        <f t="shared" si="4"/>
        <v>33755.97898895974</v>
      </c>
      <c r="L11" s="23"/>
    </row>
    <row r="12" spans="1:12" ht="12.75" outlineLevel="1">
      <c r="A12" s="7" t="s">
        <v>475</v>
      </c>
      <c r="B12" s="8" t="s">
        <v>476</v>
      </c>
      <c r="C12" s="3">
        <f>10+9</f>
        <v>19</v>
      </c>
      <c r="D12" s="4">
        <f t="shared" si="1"/>
        <v>0.005423922352269483</v>
      </c>
      <c r="F12" s="4">
        <f t="shared" si="2"/>
        <v>0</v>
      </c>
      <c r="H12" s="4">
        <f t="shared" si="3"/>
        <v>0</v>
      </c>
      <c r="I12" s="10">
        <f t="shared" si="0"/>
        <v>0.001807974117423161</v>
      </c>
      <c r="J12" s="21"/>
      <c r="K12" s="24">
        <f t="shared" si="4"/>
        <v>257.15329336758964</v>
      </c>
      <c r="L12" s="23"/>
    </row>
    <row r="13" spans="1:12" ht="12.75" outlineLevel="1">
      <c r="A13" s="7" t="s">
        <v>477</v>
      </c>
      <c r="B13" s="8" t="s">
        <v>478</v>
      </c>
      <c r="C13" s="3">
        <f>5+10</f>
        <v>15</v>
      </c>
      <c r="D13" s="4">
        <f t="shared" si="1"/>
        <v>0.004282043962318013</v>
      </c>
      <c r="E13" s="3">
        <f>10+1+1+7+1+9</f>
        <v>29</v>
      </c>
      <c r="F13" s="4">
        <f t="shared" si="2"/>
        <v>0.034606205250596656</v>
      </c>
      <c r="G13" s="3">
        <f>57</f>
        <v>57</v>
      </c>
      <c r="H13" s="4">
        <f t="shared" si="3"/>
        <v>0.009492089925062447</v>
      </c>
      <c r="I13" s="10">
        <f t="shared" si="0"/>
        <v>0.01612677971265904</v>
      </c>
      <c r="J13" s="21"/>
      <c r="K13" s="24">
        <f t="shared" si="4"/>
        <v>2293.757678585879</v>
      </c>
      <c r="L13" s="23"/>
    </row>
    <row r="14" spans="1:12" ht="12.75" outlineLevel="1">
      <c r="A14" s="7" t="s">
        <v>479</v>
      </c>
      <c r="B14" s="8" t="s">
        <v>480</v>
      </c>
      <c r="C14" s="3">
        <f>24+75</f>
        <v>99</v>
      </c>
      <c r="D14" s="4">
        <f t="shared" si="1"/>
        <v>0.028261490151298887</v>
      </c>
      <c r="E14" s="3">
        <f>23+13+3+12</f>
        <v>51</v>
      </c>
      <c r="F14" s="4">
        <f t="shared" si="2"/>
        <v>0.060859188544152745</v>
      </c>
      <c r="G14" s="3">
        <f>665</f>
        <v>665</v>
      </c>
      <c r="H14" s="4">
        <f t="shared" si="3"/>
        <v>0.11074104912572856</v>
      </c>
      <c r="I14" s="10">
        <f t="shared" si="0"/>
        <v>0.0666205759403934</v>
      </c>
      <c r="J14" s="21"/>
      <c r="K14" s="24">
        <f t="shared" si="4"/>
        <v>9475.633718437824</v>
      </c>
      <c r="L14" s="23"/>
    </row>
    <row r="15" spans="1:12" ht="12.75" outlineLevel="1">
      <c r="A15" s="7" t="s">
        <v>481</v>
      </c>
      <c r="B15" s="8" t="s">
        <v>482</v>
      </c>
      <c r="C15" s="3">
        <f>28+80</f>
        <v>108</v>
      </c>
      <c r="D15" s="4">
        <f t="shared" si="1"/>
        <v>0.030830716528689694</v>
      </c>
      <c r="E15" s="3">
        <f>16+17+18+19</f>
        <v>70</v>
      </c>
      <c r="F15" s="4">
        <f t="shared" si="2"/>
        <v>0.08353221957040573</v>
      </c>
      <c r="G15" s="3">
        <f>312</f>
        <v>312</v>
      </c>
      <c r="H15" s="4">
        <f t="shared" si="3"/>
        <v>0.05195670274771024</v>
      </c>
      <c r="I15" s="10">
        <f t="shared" si="0"/>
        <v>0.05543987961560189</v>
      </c>
      <c r="J15" s="21"/>
      <c r="K15" s="24">
        <f t="shared" si="4"/>
        <v>7885.3715269851655</v>
      </c>
      <c r="L15" s="23"/>
    </row>
    <row r="16" spans="1:12" ht="12.75" outlineLevel="1">
      <c r="A16" s="7" t="s">
        <v>483</v>
      </c>
      <c r="B16" s="8" t="s">
        <v>484</v>
      </c>
      <c r="C16" s="3">
        <f>26+29</f>
        <v>55</v>
      </c>
      <c r="D16" s="4">
        <f t="shared" si="1"/>
        <v>0.015700827861832713</v>
      </c>
      <c r="E16" s="3">
        <f>9+9+10+10+11</f>
        <v>49</v>
      </c>
      <c r="F16" s="4">
        <f t="shared" si="2"/>
        <v>0.05847255369928401</v>
      </c>
      <c r="G16" s="3">
        <f>272</f>
        <v>272</v>
      </c>
      <c r="H16" s="4">
        <f t="shared" si="3"/>
        <v>0.04529558701082431</v>
      </c>
      <c r="I16" s="10">
        <f t="shared" si="0"/>
        <v>0.03982298952398034</v>
      </c>
      <c r="J16" s="21"/>
      <c r="K16" s="24">
        <f t="shared" si="4"/>
        <v>5664.136897285972</v>
      </c>
      <c r="L16" s="23"/>
    </row>
    <row r="17" spans="1:12" ht="12.75" outlineLevel="1">
      <c r="A17" s="7" t="s">
        <v>485</v>
      </c>
      <c r="B17" s="8" t="s">
        <v>486</v>
      </c>
      <c r="C17" s="3">
        <f>3+5</f>
        <v>8</v>
      </c>
      <c r="D17" s="4">
        <f t="shared" si="1"/>
        <v>0.0022837567799029405</v>
      </c>
      <c r="E17" s="3">
        <f>12+6+8+13+7+8+6+5+12+8+9+6+8+5+7+2+7+12+5+9+5+7+6+13+7+7+7+6+7+7+11+6+11+8+9+10+6+8+8+7</f>
        <v>311</v>
      </c>
      <c r="F17" s="4">
        <f t="shared" si="2"/>
        <v>0.3711217183770883</v>
      </c>
      <c r="G17" s="3">
        <v>1472</v>
      </c>
      <c r="H17" s="4">
        <f t="shared" si="3"/>
        <v>0.24512905911740215</v>
      </c>
      <c r="I17" s="10">
        <f t="shared" si="0"/>
        <v>0.20617817809146446</v>
      </c>
      <c r="J17" s="21"/>
      <c r="K17" s="24">
        <f t="shared" si="4"/>
        <v>29325.30781597477</v>
      </c>
      <c r="L17" s="23"/>
    </row>
    <row r="18" spans="1:12" ht="12.75" outlineLevel="1">
      <c r="A18" s="7" t="s">
        <v>487</v>
      </c>
      <c r="B18" s="8" t="s">
        <v>488</v>
      </c>
      <c r="D18" s="4">
        <f t="shared" si="1"/>
        <v>0</v>
      </c>
      <c r="E18" s="3">
        <v>6</v>
      </c>
      <c r="F18" s="4">
        <f t="shared" si="2"/>
        <v>0.007159904534606206</v>
      </c>
      <c r="G18" s="3">
        <f>32</f>
        <v>32</v>
      </c>
      <c r="H18" s="4">
        <f t="shared" si="3"/>
        <v>0.005328892589508743</v>
      </c>
      <c r="I18" s="10">
        <f t="shared" si="0"/>
        <v>0.004162932374704983</v>
      </c>
      <c r="J18" s="21"/>
      <c r="K18" s="24">
        <f t="shared" si="4"/>
        <v>592.1056943822338</v>
      </c>
      <c r="L18" s="23"/>
    </row>
    <row r="19" spans="1:12" ht="12.75" outlineLevel="1">
      <c r="A19" s="7" t="s">
        <v>489</v>
      </c>
      <c r="B19" s="8" t="s">
        <v>490</v>
      </c>
      <c r="C19" s="3">
        <f>19+28</f>
        <v>47</v>
      </c>
      <c r="D19" s="4">
        <f t="shared" si="1"/>
        <v>0.013417071081929775</v>
      </c>
      <c r="F19" s="4">
        <f t="shared" si="2"/>
        <v>0</v>
      </c>
      <c r="H19" s="4">
        <f t="shared" si="3"/>
        <v>0</v>
      </c>
      <c r="I19" s="10">
        <f t="shared" si="0"/>
        <v>0.004472357027309925</v>
      </c>
      <c r="J19" s="21"/>
      <c r="K19" s="24">
        <f t="shared" si="4"/>
        <v>636.1160414882481</v>
      </c>
      <c r="L19" s="23"/>
    </row>
    <row r="20" spans="1:12" ht="12.75" outlineLevel="1">
      <c r="A20" s="7" t="s">
        <v>491</v>
      </c>
      <c r="B20" s="8" t="s">
        <v>492</v>
      </c>
      <c r="C20" s="3">
        <f>5+78</f>
        <v>83</v>
      </c>
      <c r="D20" s="4">
        <f t="shared" si="1"/>
        <v>0.023693976591493006</v>
      </c>
      <c r="E20" s="3">
        <f>10+9+10+9</f>
        <v>38</v>
      </c>
      <c r="F20" s="4">
        <f t="shared" si="2"/>
        <v>0.045346062052505964</v>
      </c>
      <c r="G20" s="3">
        <f>150</f>
        <v>150</v>
      </c>
      <c r="H20" s="4">
        <f t="shared" si="3"/>
        <v>0.02497918401332223</v>
      </c>
      <c r="I20" s="10">
        <f t="shared" si="0"/>
        <v>0.03133974088577373</v>
      </c>
      <c r="J20" s="21"/>
      <c r="K20" s="24">
        <f t="shared" si="4"/>
        <v>4457.540351047714</v>
      </c>
      <c r="L20" s="23"/>
    </row>
    <row r="21" spans="1:12" ht="12.75" outlineLevel="1">
      <c r="A21" s="7" t="s">
        <v>493</v>
      </c>
      <c r="B21" s="8" t="s">
        <v>494</v>
      </c>
      <c r="C21" s="3">
        <f>35</f>
        <v>35</v>
      </c>
      <c r="D21" s="4">
        <f t="shared" si="1"/>
        <v>0.009991435912075365</v>
      </c>
      <c r="E21" s="3">
        <f>8</f>
        <v>8</v>
      </c>
      <c r="F21" s="4">
        <f t="shared" si="2"/>
        <v>0.00954653937947494</v>
      </c>
      <c r="G21" s="3">
        <f>34</f>
        <v>34</v>
      </c>
      <c r="H21" s="4">
        <f t="shared" si="3"/>
        <v>0.005661948376353039</v>
      </c>
      <c r="I21" s="10">
        <f t="shared" si="0"/>
        <v>0.008399974555967782</v>
      </c>
      <c r="J21" s="21"/>
      <c r="K21" s="24">
        <f t="shared" si="4"/>
        <v>1194.7522370230365</v>
      </c>
      <c r="L21" s="23"/>
    </row>
    <row r="22" spans="1:12" ht="12.75" outlineLevel="1">
      <c r="A22" s="7" t="s">
        <v>495</v>
      </c>
      <c r="B22" s="8" t="s">
        <v>496</v>
      </c>
      <c r="D22" s="4">
        <f t="shared" si="1"/>
        <v>0</v>
      </c>
      <c r="E22" s="3">
        <f>5</f>
        <v>5</v>
      </c>
      <c r="F22" s="4">
        <f t="shared" si="2"/>
        <v>0.0059665871121718375</v>
      </c>
      <c r="G22" s="3">
        <f>28</f>
        <v>28</v>
      </c>
      <c r="H22" s="4">
        <f t="shared" si="3"/>
        <v>0.00466278101582015</v>
      </c>
      <c r="I22" s="10">
        <f t="shared" si="0"/>
        <v>0.003543122709330663</v>
      </c>
      <c r="J22" s="21"/>
      <c r="K22" s="24">
        <f t="shared" si="4"/>
        <v>503.94840541659465</v>
      </c>
      <c r="L22" s="23"/>
    </row>
    <row r="23" spans="1:12" ht="12.75" outlineLevel="1">
      <c r="A23" s="7" t="s">
        <v>497</v>
      </c>
      <c r="B23" s="8" t="s">
        <v>498</v>
      </c>
      <c r="C23" s="3">
        <f>39+51</f>
        <v>90</v>
      </c>
      <c r="D23" s="4">
        <f t="shared" si="1"/>
        <v>0.02569226377390808</v>
      </c>
      <c r="F23" s="4">
        <f t="shared" si="2"/>
        <v>0</v>
      </c>
      <c r="H23" s="4">
        <f t="shared" si="3"/>
        <v>0</v>
      </c>
      <c r="I23" s="10">
        <f t="shared" si="0"/>
        <v>0.008564087924636027</v>
      </c>
      <c r="J23" s="21"/>
      <c r="K23" s="24">
        <f t="shared" si="4"/>
        <v>1218.094547530688</v>
      </c>
      <c r="L23" s="23"/>
    </row>
    <row r="24" spans="1:12" ht="12.75" outlineLevel="1">
      <c r="A24" s="7" t="s">
        <v>499</v>
      </c>
      <c r="B24" s="8" t="s">
        <v>500</v>
      </c>
      <c r="C24" s="3">
        <f>26+36</f>
        <v>62</v>
      </c>
      <c r="D24" s="4">
        <f t="shared" si="1"/>
        <v>0.017699115044247787</v>
      </c>
      <c r="F24" s="4">
        <f t="shared" si="2"/>
        <v>0</v>
      </c>
      <c r="H24" s="4">
        <f t="shared" si="3"/>
        <v>0</v>
      </c>
      <c r="I24" s="10">
        <f t="shared" si="0"/>
        <v>0.0058997050147492625</v>
      </c>
      <c r="J24" s="21"/>
      <c r="K24" s="24">
        <f t="shared" si="4"/>
        <v>839.1317994100294</v>
      </c>
      <c r="L24" s="23"/>
    </row>
    <row r="25" spans="1:12" ht="12.75" outlineLevel="1">
      <c r="A25" s="7" t="s">
        <v>501</v>
      </c>
      <c r="B25" s="8" t="s">
        <v>502</v>
      </c>
      <c r="C25" s="3">
        <f>55+90</f>
        <v>145</v>
      </c>
      <c r="D25" s="4">
        <f t="shared" si="1"/>
        <v>0.04139309163574079</v>
      </c>
      <c r="E25" s="3">
        <f>1+2+2+2+2+1+1+2+1+2</f>
        <v>16</v>
      </c>
      <c r="F25" s="4">
        <f t="shared" si="2"/>
        <v>0.01909307875894988</v>
      </c>
      <c r="G25" s="3">
        <f>147</f>
        <v>147</v>
      </c>
      <c r="H25" s="4">
        <f t="shared" si="3"/>
        <v>0.02447960033305579</v>
      </c>
      <c r="I25" s="10">
        <f t="shared" si="0"/>
        <v>0.02832192357591549</v>
      </c>
      <c r="J25" s="21"/>
      <c r="K25" s="24">
        <f t="shared" si="4"/>
        <v>4028.3076244654158</v>
      </c>
      <c r="L25" s="23"/>
    </row>
    <row r="26" spans="1:12" ht="13.5" thickBot="1">
      <c r="A26" s="14" t="s">
        <v>503</v>
      </c>
      <c r="B26" s="17"/>
      <c r="C26" s="1">
        <f aca="true" t="shared" si="5" ref="C26:H26">SUM(C7:C25)</f>
        <v>3503</v>
      </c>
      <c r="D26" s="15">
        <f t="shared" si="5"/>
        <v>1</v>
      </c>
      <c r="E26" s="1">
        <f t="shared" si="5"/>
        <v>838</v>
      </c>
      <c r="F26" s="15">
        <f t="shared" si="5"/>
        <v>0.9999999999999999</v>
      </c>
      <c r="G26" s="1">
        <f t="shared" si="5"/>
        <v>6005</v>
      </c>
      <c r="H26" s="15">
        <f t="shared" si="5"/>
        <v>0.9999999999999999</v>
      </c>
      <c r="I26" s="10">
        <f t="shared" si="0"/>
        <v>1</v>
      </c>
      <c r="J26" s="25"/>
      <c r="K26" s="26">
        <f>'FY11 to FY10 Comparison'!K20:L20</f>
        <v>142232.84</v>
      </c>
      <c r="L26" s="27"/>
    </row>
    <row r="28" ht="12.75">
      <c r="K28" s="80">
        <f>SUM(K7:K25)</f>
        <v>142232.84</v>
      </c>
    </row>
  </sheetData>
  <mergeCells count="2">
    <mergeCell ref="J3:L4"/>
    <mergeCell ref="J5:L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wallisd</dc:creator>
  <cp:keywords/>
  <dc:description/>
  <cp:lastModifiedBy>newimage</cp:lastModifiedBy>
  <cp:lastPrinted>2009-12-05T17:40:50Z</cp:lastPrinted>
  <dcterms:created xsi:type="dcterms:W3CDTF">2008-10-09T21:31:58Z</dcterms:created>
  <dcterms:modified xsi:type="dcterms:W3CDTF">2010-11-17T00:50:45Z</dcterms:modified>
  <cp:category/>
  <cp:version/>
  <cp:contentType/>
  <cp:contentStatus/>
</cp:coreProperties>
</file>