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61" activeTab="10"/>
  </bookViews>
  <sheets>
    <sheet name="SUMMARY" sheetId="1" r:id="rId1"/>
    <sheet name="DA" sheetId="2" r:id="rId2"/>
    <sheet name="DCHS" sheetId="3" r:id="rId3"/>
    <sheet name="DCJ" sheetId="4" r:id="rId4"/>
    <sheet name="DCM" sheetId="5" r:id="rId5"/>
    <sheet name="DCS" sheetId="6" r:id="rId6"/>
    <sheet name="LIB" sheetId="7" r:id="rId7"/>
    <sheet name="DOH" sheetId="8" r:id="rId8"/>
    <sheet name="MCSO" sheetId="9" r:id="rId9"/>
    <sheet name="NDEPT" sheetId="10" r:id="rId10"/>
    <sheet name="Rates" sheetId="11" r:id="rId11"/>
  </sheets>
  <definedNames>
    <definedName name="_xlnm._FilterDatabase" localSheetId="1" hidden="1">'DA'!$A$3:$U$55</definedName>
    <definedName name="_xlnm._FilterDatabase" localSheetId="2" hidden="1">'DCHS'!$A$3:$U$223</definedName>
    <definedName name="_xlnm._FilterDatabase" localSheetId="3" hidden="1">'DCJ'!$A$3:$U$197</definedName>
    <definedName name="_xlnm._FilterDatabase" localSheetId="4" hidden="1">'DCM'!$A$3:$U$257</definedName>
    <definedName name="_xlnm._FilterDatabase" localSheetId="5" hidden="1">'DCS'!$A$3:$U$92</definedName>
    <definedName name="_xlnm._FilterDatabase" localSheetId="7" hidden="1">'DOH'!$A$3:$U$593</definedName>
    <definedName name="_xlnm._FilterDatabase" localSheetId="6" hidden="1">'LIB'!$A$3:$U$13</definedName>
    <definedName name="_xlnm._FilterDatabase" localSheetId="8" hidden="1">'MCSO'!$A$3:$U$90</definedName>
    <definedName name="_xlnm._FilterDatabase" localSheetId="9" hidden="1">'NDEPT'!$A$3:$U$108</definedName>
    <definedName name="_xlnm.Print_Area" localSheetId="1">'DA'!$B$1:$U$55</definedName>
    <definedName name="_xlnm.Print_Area" localSheetId="2">'DCHS'!$B$1:$U$223</definedName>
    <definedName name="_xlnm.Print_Area" localSheetId="3">'DCJ'!$B$1:$U$197</definedName>
    <definedName name="_xlnm.Print_Area" localSheetId="4">'DCM'!$B$1:$U$257</definedName>
    <definedName name="_xlnm.Print_Area" localSheetId="5">'DCS'!$B$1:$U$92</definedName>
    <definedName name="_xlnm.Print_Area" localSheetId="7">'DOH'!$B$1:$U$593</definedName>
    <definedName name="_xlnm.Print_Area" localSheetId="6">'LIB'!$B$1:$U$13</definedName>
    <definedName name="_xlnm.Print_Area" localSheetId="8">'MCSO'!$B$1:$U$90</definedName>
    <definedName name="_xlnm.Print_Area" localSheetId="9">'NDEPT'!$B$1:$U$108</definedName>
    <definedName name="_xlnm.Print_Area" localSheetId="10">'Rates'!$A$1:$D$10</definedName>
    <definedName name="_xlnm.Print_Area" localSheetId="0">'SUMMARY'!$A$30:$M$121</definedName>
    <definedName name="_xlnm.Print_Titles" localSheetId="0">'SUMMARY'!$30:$31</definedName>
  </definedNames>
  <calcPr fullCalcOnLoad="1"/>
</workbook>
</file>

<file path=xl/comments4.xml><?xml version="1.0" encoding="utf-8"?>
<comments xmlns="http://schemas.openxmlformats.org/spreadsheetml/2006/main">
  <authors>
    <author>Aim?e Banfield computer</author>
  </authors>
  <commentList>
    <comment ref="D126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1/9/2008 per Joanne T. changed from 507700 to 508000</t>
        </r>
      </text>
    </comment>
  </commentList>
</comments>
</file>

<file path=xl/comments8.xml><?xml version="1.0" encoding="utf-8"?>
<comments xmlns="http://schemas.openxmlformats.org/spreadsheetml/2006/main">
  <authors>
    <author>Aim?e Banfield computer</author>
  </authors>
  <commentList>
    <comment ref="D88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  <comment ref="D89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  <comment ref="D90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  <comment ref="D91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  <comment ref="D92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  <comment ref="D93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3/13/2008 per Robert Stoll changed coding from 404503 to 4FA44-02-01.</t>
        </r>
      </text>
    </comment>
  </commentList>
</comments>
</file>

<file path=xl/sharedStrings.xml><?xml version="1.0" encoding="utf-8"?>
<sst xmlns="http://schemas.openxmlformats.org/spreadsheetml/2006/main" count="9039" uniqueCount="1014">
  <si>
    <t>Library-Finance Mgmt &amp; Admin Support</t>
  </si>
  <si>
    <t>DCS-Land Use Planning Division     1000</t>
  </si>
  <si>
    <t>DCM-Facilities-Administration</t>
  </si>
  <si>
    <t>DCS</t>
  </si>
  <si>
    <t>M009</t>
  </si>
  <si>
    <t>M072</t>
  </si>
  <si>
    <t>M082</t>
  </si>
  <si>
    <t>M093</t>
  </si>
  <si>
    <t>M102</t>
  </si>
  <si>
    <t>M218</t>
  </si>
  <si>
    <t>M239</t>
  </si>
  <si>
    <t>M244</t>
  </si>
  <si>
    <t>M245</t>
  </si>
  <si>
    <t>M246</t>
  </si>
  <si>
    <t>M248</t>
  </si>
  <si>
    <t>M257</t>
  </si>
  <si>
    <t>M275</t>
  </si>
  <si>
    <t>M315</t>
  </si>
  <si>
    <t>M326</t>
  </si>
  <si>
    <t>M328</t>
  </si>
  <si>
    <t>M411</t>
  </si>
  <si>
    <t>M561</t>
  </si>
  <si>
    <t>M564</t>
  </si>
  <si>
    <t>M740</t>
  </si>
  <si>
    <t>M753</t>
  </si>
  <si>
    <t>M754</t>
  </si>
  <si>
    <t>M835</t>
  </si>
  <si>
    <t>M882</t>
  </si>
  <si>
    <t>M904</t>
  </si>
  <si>
    <t>M922</t>
  </si>
  <si>
    <t>M926</t>
  </si>
  <si>
    <t>M928</t>
  </si>
  <si>
    <t>M937</t>
  </si>
  <si>
    <t>MCSO-Enforcement-Administration</t>
  </si>
  <si>
    <t>MCSO-E-Concealed Handgun 1516</t>
  </si>
  <si>
    <t>MCSO-Executive-Central Expenses</t>
  </si>
  <si>
    <t>ND-Citizen Involvement</t>
  </si>
  <si>
    <t>ND-Public Affairs Office</t>
  </si>
  <si>
    <t>DCS-Animal Control-Shelter Op      1000</t>
  </si>
  <si>
    <t>DCS-Tax Title Business Office</t>
  </si>
  <si>
    <t>DCS-Elections-Admin</t>
  </si>
  <si>
    <t>DCS-Elections-General Election</t>
  </si>
  <si>
    <t>DCS-Elections-Primary Election</t>
  </si>
  <si>
    <t>DCS-Elections-November Special Election</t>
  </si>
  <si>
    <t>CCFC</t>
  </si>
  <si>
    <t>LPSCC</t>
  </si>
  <si>
    <t>Finance  &amp; Budget</t>
  </si>
  <si>
    <t>MCODE</t>
  </si>
  <si>
    <t>Dept</t>
  </si>
  <si>
    <t>DIV</t>
  </si>
  <si>
    <t>SAP CODE</t>
  </si>
  <si>
    <t>Fund Center</t>
  </si>
  <si>
    <t>CLASS</t>
  </si>
  <si>
    <t>POSTAGE</t>
  </si>
  <si>
    <t>PIECES</t>
  </si>
  <si>
    <t>INHOUSE</t>
  </si>
  <si>
    <t>ACCOUNT</t>
  </si>
  <si>
    <t>M008</t>
  </si>
  <si>
    <t>DCM</t>
  </si>
  <si>
    <t>INFORMATION TECHNOLOGY</t>
  </si>
  <si>
    <t>709525</t>
  </si>
  <si>
    <t>72-60</t>
  </si>
  <si>
    <t>15 Total Total</t>
  </si>
  <si>
    <t>1C Total Total</t>
  </si>
  <si>
    <t>1F Total Total</t>
  </si>
  <si>
    <t>1L Total Total</t>
  </si>
  <si>
    <t>1Q Total Total</t>
  </si>
  <si>
    <t>M010</t>
  </si>
  <si>
    <t>DOH</t>
  </si>
  <si>
    <t>HEALTH-DIRECTOR</t>
  </si>
  <si>
    <t>400001</t>
  </si>
  <si>
    <t>40-00</t>
  </si>
  <si>
    <t>M011</t>
  </si>
  <si>
    <t>DOH-ICS</t>
  </si>
  <si>
    <t>INTEGRATED CLINICAL SERVICES</t>
  </si>
  <si>
    <t>406250</t>
  </si>
  <si>
    <t>40-60</t>
  </si>
  <si>
    <t>M015</t>
  </si>
  <si>
    <t>DCHS</t>
  </si>
  <si>
    <t>SUPPORT SERVICES</t>
  </si>
  <si>
    <t>CHSBS.HR.CGF</t>
  </si>
  <si>
    <t>26-10</t>
  </si>
  <si>
    <t>M016</t>
  </si>
  <si>
    <t>DCCP</t>
  </si>
  <si>
    <t>SCPCES.CGF</t>
  </si>
  <si>
    <t>22-10</t>
  </si>
  <si>
    <t>M018</t>
  </si>
  <si>
    <t>DDSD</t>
  </si>
  <si>
    <t xml:space="preserve">DD REG 157 </t>
  </si>
  <si>
    <t>20-50</t>
  </si>
  <si>
    <t>PC Total Total</t>
  </si>
  <si>
    <t>M019</t>
  </si>
  <si>
    <t>DOH-CHS</t>
  </si>
  <si>
    <t>COMM. HEALTH SERVICES</t>
  </si>
  <si>
    <t>4SA45-05-1</t>
  </si>
  <si>
    <t>40-30</t>
  </si>
  <si>
    <t>M021</t>
  </si>
  <si>
    <t>HEALTH OFFICER</t>
  </si>
  <si>
    <t>402100</t>
  </si>
  <si>
    <t>40-20</t>
  </si>
  <si>
    <t>M022</t>
  </si>
  <si>
    <t>403600</t>
  </si>
  <si>
    <t>M023</t>
  </si>
  <si>
    <t>403350</t>
  </si>
  <si>
    <t>4X Total Total</t>
  </si>
  <si>
    <t>M024</t>
  </si>
  <si>
    <t>402410</t>
  </si>
  <si>
    <t>M025</t>
  </si>
  <si>
    <t>BUSINESS &amp; QUALITY</t>
  </si>
  <si>
    <t>409305</t>
  </si>
  <si>
    <t>40-90</t>
  </si>
  <si>
    <t>M026</t>
  </si>
  <si>
    <t>CHP3</t>
  </si>
  <si>
    <t>401646</t>
  </si>
  <si>
    <t>40-40</t>
  </si>
  <si>
    <t>M030</t>
  </si>
  <si>
    <t>403002</t>
  </si>
  <si>
    <t>M035</t>
  </si>
  <si>
    <t>NDPT</t>
  </si>
  <si>
    <t/>
  </si>
  <si>
    <t>CCFC.ADMIN.32082</t>
  </si>
  <si>
    <t>10-50</t>
  </si>
  <si>
    <t>M040</t>
  </si>
  <si>
    <t>404002</t>
  </si>
  <si>
    <t>M044</t>
  </si>
  <si>
    <t>40-70</t>
  </si>
  <si>
    <t>M045</t>
  </si>
  <si>
    <t>NDPT-6th</t>
  </si>
  <si>
    <t>LPSCC-Ops</t>
  </si>
  <si>
    <t>10-80</t>
  </si>
  <si>
    <t>M046</t>
  </si>
  <si>
    <t>4FA44-02-1</t>
  </si>
  <si>
    <t>M051</t>
  </si>
  <si>
    <t>401601</t>
  </si>
  <si>
    <t>40-16</t>
  </si>
  <si>
    <t>M053</t>
  </si>
  <si>
    <t>4SA01</t>
  </si>
  <si>
    <t>M070</t>
  </si>
  <si>
    <t>407050</t>
  </si>
  <si>
    <t>40-80</t>
  </si>
  <si>
    <t>M071</t>
  </si>
  <si>
    <t>407002</t>
  </si>
  <si>
    <t>M075</t>
  </si>
  <si>
    <t>403900</t>
  </si>
  <si>
    <t>M092</t>
  </si>
  <si>
    <t>409300</t>
  </si>
  <si>
    <t>M101</t>
  </si>
  <si>
    <t>DCJ</t>
  </si>
  <si>
    <t>DIRECTOR'S OFFICE</t>
  </si>
  <si>
    <t>509600</t>
  </si>
  <si>
    <t>50-00</t>
  </si>
  <si>
    <t>M110</t>
  </si>
  <si>
    <t>DCHS BUSINESS SERVICES</t>
  </si>
  <si>
    <t>CHSBS.FIN.LA</t>
  </si>
  <si>
    <t>M122</t>
  </si>
  <si>
    <t>MHAS</t>
  </si>
  <si>
    <t>MA SA DM XIX</t>
  </si>
  <si>
    <t>20-80</t>
  </si>
  <si>
    <t>M124</t>
  </si>
  <si>
    <t>DCHS ADMIN</t>
  </si>
  <si>
    <t>DV SVC.SAFE</t>
  </si>
  <si>
    <t>20-30</t>
  </si>
  <si>
    <t>M127</t>
  </si>
  <si>
    <t>DD</t>
  </si>
  <si>
    <t>DD ACOMP 48</t>
  </si>
  <si>
    <t>M130</t>
  </si>
  <si>
    <t>MA SA DM CGF</t>
  </si>
  <si>
    <t>IM Total Total</t>
  </si>
  <si>
    <t>M131</t>
  </si>
  <si>
    <t>MA SA BA CGF</t>
  </si>
  <si>
    <t>M134</t>
  </si>
  <si>
    <t>BHD</t>
  </si>
  <si>
    <t>M142</t>
  </si>
  <si>
    <t>MA AS DUII CGF</t>
  </si>
  <si>
    <t>M143</t>
  </si>
  <si>
    <t>M161</t>
  </si>
  <si>
    <t>CHSDO.IND1000</t>
  </si>
  <si>
    <t>M171</t>
  </si>
  <si>
    <t>ADS</t>
  </si>
  <si>
    <t>ADSDIVADM201XIX</t>
  </si>
  <si>
    <t>30-01</t>
  </si>
  <si>
    <t>M172</t>
  </si>
  <si>
    <t>ADSDIVAPSXIX</t>
  </si>
  <si>
    <t>30-80</t>
  </si>
  <si>
    <t>M191</t>
  </si>
  <si>
    <t>ADSDIVLTCMCXIX</t>
  </si>
  <si>
    <t>30-55</t>
  </si>
  <si>
    <t>M192</t>
  </si>
  <si>
    <t>ADSDIVLTCWDXIX</t>
  </si>
  <si>
    <t>M193</t>
  </si>
  <si>
    <t>ADSDIVLTCNNEDXIX</t>
  </si>
  <si>
    <t>M194</t>
  </si>
  <si>
    <t>ADSDIVLTCSEDXIX</t>
  </si>
  <si>
    <t>M195</t>
  </si>
  <si>
    <t>ADSDIVPGFEEGF</t>
  </si>
  <si>
    <t>30-65</t>
  </si>
  <si>
    <t>M198</t>
  </si>
  <si>
    <t>ADSDIVAHXIX</t>
  </si>
  <si>
    <t>30-75</t>
  </si>
  <si>
    <t>M212</t>
  </si>
  <si>
    <t>ACJ CENTRALIZED PROC</t>
  </si>
  <si>
    <t>CJ045.DOC.SUP.FEL.CI</t>
  </si>
  <si>
    <t>50-10</t>
  </si>
  <si>
    <t>M213</t>
  </si>
  <si>
    <t>ACJ EAST-SE DISTRICT</t>
  </si>
  <si>
    <t>CJ045.DOC.SUP.FEL.MID</t>
  </si>
  <si>
    <t>M214</t>
  </si>
  <si>
    <t>ACJ NORTH/NE/WEST DISTRICT</t>
  </si>
  <si>
    <t>CJ045.DOC.SUP.FEL.NORTH</t>
  </si>
  <si>
    <t>M215</t>
  </si>
  <si>
    <t>ACJ</t>
  </si>
  <si>
    <t>502230</t>
  </si>
  <si>
    <t>M216</t>
  </si>
  <si>
    <t>ACJ WEST</t>
  </si>
  <si>
    <t>CJ045.DOC.SUP.FEL.WEST</t>
  </si>
  <si>
    <t>M217</t>
  </si>
  <si>
    <t>CJ045.DOC.HRDU</t>
  </si>
  <si>
    <t>M219</t>
  </si>
  <si>
    <t>ACJ CENTRALIZED PROC SVCS</t>
  </si>
  <si>
    <t>CJ045.DOC.SUP.SUPRT.LC</t>
  </si>
  <si>
    <t>M220</t>
  </si>
  <si>
    <t>ACJ EAST/SE DISTRICT</t>
  </si>
  <si>
    <t>CJ045.DOC.SUP.FEL.CENTRL   </t>
  </si>
  <si>
    <t>M227</t>
  </si>
  <si>
    <t>ACJ N/NE/WEST</t>
  </si>
  <si>
    <t>504600</t>
  </si>
  <si>
    <t>M228</t>
  </si>
  <si>
    <t>505911</t>
  </si>
  <si>
    <t>M230</t>
  </si>
  <si>
    <t>709604</t>
  </si>
  <si>
    <t>M231</t>
  </si>
  <si>
    <t>403310</t>
  </si>
  <si>
    <t>M233</t>
  </si>
  <si>
    <t>403320</t>
  </si>
  <si>
    <t>M235</t>
  </si>
  <si>
    <t>ACJ SANCTIONS &amp; SERVICES</t>
  </si>
  <si>
    <t>CJ045.DOC.SUP.COMMSVC </t>
  </si>
  <si>
    <t>M240</t>
  </si>
  <si>
    <t>DA</t>
  </si>
  <si>
    <t>ADMINISTRATION</t>
  </si>
  <si>
    <t>150000</t>
  </si>
  <si>
    <t>15-00</t>
  </si>
  <si>
    <t>M243</t>
  </si>
  <si>
    <t>FAMILY &amp; COMMUNITY JUSTICE</t>
  </si>
  <si>
    <t>da sed.66</t>
  </si>
  <si>
    <t>15-30</t>
  </si>
  <si>
    <t>1D Total Total</t>
  </si>
  <si>
    <t>IE Total Total</t>
  </si>
  <si>
    <t>IQ Total Total</t>
  </si>
  <si>
    <t>M247</t>
  </si>
  <si>
    <t>153800</t>
  </si>
  <si>
    <t>M249</t>
  </si>
  <si>
    <t>COMMUNITY HEALTH SERVICES</t>
  </si>
  <si>
    <t>4SA45-05-7</t>
  </si>
  <si>
    <t>M250</t>
  </si>
  <si>
    <t>JCJ</t>
  </si>
  <si>
    <t>509000</t>
  </si>
  <si>
    <t>50-50</t>
  </si>
  <si>
    <t>M254</t>
  </si>
  <si>
    <t>JCJ CNSLNG COURT</t>
  </si>
  <si>
    <t>M280</t>
  </si>
  <si>
    <t>FAMILY COURT SERVICES</t>
  </si>
  <si>
    <t>509040</t>
  </si>
  <si>
    <t>M285</t>
  </si>
  <si>
    <t>503401</t>
  </si>
  <si>
    <t>M286</t>
  </si>
  <si>
    <t>M290</t>
  </si>
  <si>
    <t>502700</t>
  </si>
  <si>
    <t>M291</t>
  </si>
  <si>
    <t>CJ016.ENHANCEDBENCH</t>
  </si>
  <si>
    <t>M302</t>
  </si>
  <si>
    <t>MCSO</t>
  </si>
  <si>
    <t>EQUIPMENT</t>
  </si>
  <si>
    <t>601390</t>
  </si>
  <si>
    <t>60-20</t>
  </si>
  <si>
    <t>M309</t>
  </si>
  <si>
    <t>403305</t>
  </si>
  <si>
    <t>M310</t>
  </si>
  <si>
    <t>4FA39-01-1</t>
  </si>
  <si>
    <t>M311</t>
  </si>
  <si>
    <t>M314</t>
  </si>
  <si>
    <t>4CA32-1</t>
  </si>
  <si>
    <t>M316</t>
  </si>
  <si>
    <t>M317</t>
  </si>
  <si>
    <t>803410</t>
  </si>
  <si>
    <t>80-30</t>
  </si>
  <si>
    <t>4B Total Total</t>
  </si>
  <si>
    <t>4Y Total Total</t>
  </si>
  <si>
    <t>M320</t>
  </si>
  <si>
    <t>43550-GF</t>
  </si>
  <si>
    <t>M321</t>
  </si>
  <si>
    <t>604020</t>
  </si>
  <si>
    <t>M322</t>
  </si>
  <si>
    <t>EXECUTIVE</t>
  </si>
  <si>
    <t>600001</t>
  </si>
  <si>
    <t>60-00</t>
  </si>
  <si>
    <t>M323</t>
  </si>
  <si>
    <t>601600</t>
  </si>
  <si>
    <t>60-50</t>
  </si>
  <si>
    <t>M324</t>
  </si>
  <si>
    <t>COMMUNITY SERVICES</t>
  </si>
  <si>
    <t>601774</t>
  </si>
  <si>
    <t>M325</t>
  </si>
  <si>
    <t>601775</t>
  </si>
  <si>
    <t>M350</t>
  </si>
  <si>
    <t>CIVIL DIVISION</t>
  </si>
  <si>
    <t>601690</t>
  </si>
  <si>
    <t>M381</t>
  </si>
  <si>
    <t>CORRECTIONS BRANCH</t>
  </si>
  <si>
    <t>601410</t>
  </si>
  <si>
    <t>60-30</t>
  </si>
  <si>
    <t>M395</t>
  </si>
  <si>
    <t>601422</t>
  </si>
  <si>
    <t>M401</t>
  </si>
  <si>
    <t>601210</t>
  </si>
  <si>
    <t>M403</t>
  </si>
  <si>
    <t>COURT SERVICES UNIT</t>
  </si>
  <si>
    <t>601480</t>
  </si>
  <si>
    <t>M416</t>
  </si>
  <si>
    <t>407100</t>
  </si>
  <si>
    <t>M430</t>
  </si>
  <si>
    <t>403100</t>
  </si>
  <si>
    <t>M445</t>
  </si>
  <si>
    <t>403615</t>
  </si>
  <si>
    <t>FREDS</t>
  </si>
  <si>
    <t>72-55</t>
  </si>
  <si>
    <t>M451</t>
  </si>
  <si>
    <t>404555</t>
  </si>
  <si>
    <t>40-45</t>
  </si>
  <si>
    <t>M452</t>
  </si>
  <si>
    <t>404565</t>
  </si>
  <si>
    <t>M453</t>
  </si>
  <si>
    <t>404515</t>
  </si>
  <si>
    <t>M454</t>
  </si>
  <si>
    <t>404535</t>
  </si>
  <si>
    <t>M455</t>
  </si>
  <si>
    <t>404545</t>
  </si>
  <si>
    <t>M456</t>
  </si>
  <si>
    <t>404530</t>
  </si>
  <si>
    <t>M457</t>
  </si>
  <si>
    <t>404510</t>
  </si>
  <si>
    <t>M458</t>
  </si>
  <si>
    <t>404505</t>
  </si>
  <si>
    <t>M459</t>
  </si>
  <si>
    <t>404550</t>
  </si>
  <si>
    <t>M460</t>
  </si>
  <si>
    <t>404525</t>
  </si>
  <si>
    <t>M461</t>
  </si>
  <si>
    <t>404520</t>
  </si>
  <si>
    <t>M465</t>
  </si>
  <si>
    <t>404504</t>
  </si>
  <si>
    <t>M466</t>
  </si>
  <si>
    <t>404575</t>
  </si>
  <si>
    <t>M472</t>
  </si>
  <si>
    <t>404701</t>
  </si>
  <si>
    <t>40-47</t>
  </si>
  <si>
    <t>M478</t>
  </si>
  <si>
    <t>404710</t>
  </si>
  <si>
    <t>M479</t>
  </si>
  <si>
    <t>404730</t>
  </si>
  <si>
    <t>M480</t>
  </si>
  <si>
    <t>407500</t>
  </si>
  <si>
    <t>M481</t>
  </si>
  <si>
    <t>403700</t>
  </si>
  <si>
    <t>M490</t>
  </si>
  <si>
    <t>4CA35-1</t>
  </si>
  <si>
    <t>M492</t>
  </si>
  <si>
    <t>M494</t>
  </si>
  <si>
    <t>404708</t>
  </si>
  <si>
    <t>M500</t>
  </si>
  <si>
    <t>CFO</t>
  </si>
  <si>
    <t>704002</t>
  </si>
  <si>
    <t>72-01</t>
  </si>
  <si>
    <t>M506</t>
  </si>
  <si>
    <t>904100</t>
  </si>
  <si>
    <t>M507</t>
  </si>
  <si>
    <t>M522</t>
  </si>
  <si>
    <t>901000</t>
  </si>
  <si>
    <t>91-50</t>
  </si>
  <si>
    <t>M531</t>
  </si>
  <si>
    <t>DV</t>
  </si>
  <si>
    <t>DV SVC.CGF</t>
  </si>
  <si>
    <t>M535</t>
  </si>
  <si>
    <t>DOM VIOL COORDINATOR'S OFFICE</t>
  </si>
  <si>
    <t>M538</t>
  </si>
  <si>
    <t>TRANS</t>
  </si>
  <si>
    <t>M539</t>
  </si>
  <si>
    <t>TRANSPORTATION DIVISION</t>
  </si>
  <si>
    <t>6700AN0050520</t>
  </si>
  <si>
    <t>M540</t>
  </si>
  <si>
    <t>LUT</t>
  </si>
  <si>
    <t>6700RT6013C300</t>
  </si>
  <si>
    <t>M558</t>
  </si>
  <si>
    <t>SCPCPS.M558.CGF</t>
  </si>
  <si>
    <t>M560</t>
  </si>
  <si>
    <t>107001</t>
  </si>
  <si>
    <t>10-20</t>
  </si>
  <si>
    <t>M570</t>
  </si>
  <si>
    <t>ASSESSMENT &amp; TAXATION</t>
  </si>
  <si>
    <t>706202</t>
  </si>
  <si>
    <t>72-30</t>
  </si>
  <si>
    <t>M593</t>
  </si>
  <si>
    <t>904200</t>
  </si>
  <si>
    <t>M601</t>
  </si>
  <si>
    <t>407750</t>
  </si>
  <si>
    <t>M605</t>
  </si>
  <si>
    <t>M610</t>
  </si>
  <si>
    <t>PROPERTY VALUATION</t>
  </si>
  <si>
    <t>907300</t>
  </si>
  <si>
    <t>M611</t>
  </si>
  <si>
    <t>47700-GF</t>
  </si>
  <si>
    <t>M612</t>
  </si>
  <si>
    <t>406200</t>
  </si>
  <si>
    <t>M621</t>
  </si>
  <si>
    <t>M624</t>
  </si>
  <si>
    <t>404435</t>
  </si>
  <si>
    <t>40-44</t>
  </si>
  <si>
    <t>M630</t>
  </si>
  <si>
    <t>406600</t>
  </si>
  <si>
    <t>M631</t>
  </si>
  <si>
    <t>407650</t>
  </si>
  <si>
    <t>M632</t>
  </si>
  <si>
    <t>M634</t>
  </si>
  <si>
    <t>404415</t>
  </si>
  <si>
    <t>M641</t>
  </si>
  <si>
    <t>407600</t>
  </si>
  <si>
    <t>M643</t>
  </si>
  <si>
    <t>406750</t>
  </si>
  <si>
    <t>NCTY</t>
  </si>
  <si>
    <t>M655</t>
  </si>
  <si>
    <t>906400</t>
  </si>
  <si>
    <t>91-60</t>
  </si>
  <si>
    <t>M661</t>
  </si>
  <si>
    <t>6610AN0050520</t>
  </si>
  <si>
    <t>M668</t>
  </si>
  <si>
    <t>408502</t>
  </si>
  <si>
    <t>M671</t>
  </si>
  <si>
    <t>407550</t>
  </si>
  <si>
    <t>M674</t>
  </si>
  <si>
    <t>404420</t>
  </si>
  <si>
    <t>M700</t>
  </si>
  <si>
    <t>700000</t>
  </si>
  <si>
    <t>91-00</t>
  </si>
  <si>
    <t>M703</t>
  </si>
  <si>
    <t>M714</t>
  </si>
  <si>
    <t>407800</t>
  </si>
  <si>
    <t>M717</t>
  </si>
  <si>
    <t>403800</t>
  </si>
  <si>
    <t>M722</t>
  </si>
  <si>
    <t>HUMAN RESOURCES</t>
  </si>
  <si>
    <t>705100</t>
  </si>
  <si>
    <t>72-80</t>
  </si>
  <si>
    <t>M727</t>
  </si>
  <si>
    <t>ADSDIVLTCEDXIX</t>
  </si>
  <si>
    <t>M732</t>
  </si>
  <si>
    <t>FINANCE &amp; RISK</t>
  </si>
  <si>
    <t>704100</t>
  </si>
  <si>
    <t>72-10</t>
  </si>
  <si>
    <t>M734</t>
  </si>
  <si>
    <t>M735</t>
  </si>
  <si>
    <t>FINANCE</t>
  </si>
  <si>
    <t>itax.dbcs.finadmin</t>
  </si>
  <si>
    <t>M736</t>
  </si>
  <si>
    <t>DEPARTMENT HR</t>
  </si>
  <si>
    <t>705300</t>
  </si>
  <si>
    <t>M739</t>
  </si>
  <si>
    <t>706207</t>
  </si>
  <si>
    <t>M741</t>
  </si>
  <si>
    <t>704001</t>
  </si>
  <si>
    <t>M743</t>
  </si>
  <si>
    <t>704200</t>
  </si>
  <si>
    <t>M744</t>
  </si>
  <si>
    <t>704700</t>
  </si>
  <si>
    <t>M745</t>
  </si>
  <si>
    <t>705210</t>
  </si>
  <si>
    <t>M746</t>
  </si>
  <si>
    <t>705245</t>
  </si>
  <si>
    <t>M747</t>
  </si>
  <si>
    <t>708400</t>
  </si>
  <si>
    <t>M748</t>
  </si>
  <si>
    <t>705200</t>
  </si>
  <si>
    <t>M749</t>
  </si>
  <si>
    <t>M750</t>
  </si>
  <si>
    <t>EMPLOYEE SERVICES</t>
  </si>
  <si>
    <t>702000</t>
  </si>
  <si>
    <t>M756</t>
  </si>
  <si>
    <t>706201</t>
  </si>
  <si>
    <t>M757</t>
  </si>
  <si>
    <t>706203</t>
  </si>
  <si>
    <t>1S Total Total</t>
  </si>
  <si>
    <t>M758</t>
  </si>
  <si>
    <t>706404</t>
  </si>
  <si>
    <t>M763</t>
  </si>
  <si>
    <t>706204</t>
  </si>
  <si>
    <t>M766</t>
  </si>
  <si>
    <t>705401</t>
  </si>
  <si>
    <t>M769</t>
  </si>
  <si>
    <t>908000</t>
  </si>
  <si>
    <t>91-40</t>
  </si>
  <si>
    <t>IP Total Total</t>
  </si>
  <si>
    <t>M772</t>
  </si>
  <si>
    <t>908020</t>
  </si>
  <si>
    <t>M777</t>
  </si>
  <si>
    <t>908070</t>
  </si>
  <si>
    <t>M778</t>
  </si>
  <si>
    <t>908080</t>
  </si>
  <si>
    <t>M786</t>
  </si>
  <si>
    <t>902000</t>
  </si>
  <si>
    <t>72-50</t>
  </si>
  <si>
    <t>M788</t>
  </si>
  <si>
    <t>FACILITIES MANAGEMENT</t>
  </si>
  <si>
    <t>B448 BASE</t>
  </si>
  <si>
    <t>M793</t>
  </si>
  <si>
    <t>709000</t>
  </si>
  <si>
    <t>M804</t>
  </si>
  <si>
    <t>CJ045.DOC.DRC</t>
  </si>
  <si>
    <t>M811</t>
  </si>
  <si>
    <t>406550</t>
  </si>
  <si>
    <t>M813</t>
  </si>
  <si>
    <t>406150</t>
  </si>
  <si>
    <t>M814</t>
  </si>
  <si>
    <t>406650</t>
  </si>
  <si>
    <t>M852</t>
  </si>
  <si>
    <t>408300</t>
  </si>
  <si>
    <t>M853</t>
  </si>
  <si>
    <t>M854</t>
  </si>
  <si>
    <t>409001</t>
  </si>
  <si>
    <t>M861</t>
  </si>
  <si>
    <t xml:space="preserve">CJ045.DOC.SUP.FEL.GRESHM  </t>
  </si>
  <si>
    <t>M900</t>
  </si>
  <si>
    <t>903200</t>
  </si>
  <si>
    <t>91-30</t>
  </si>
  <si>
    <t>M901</t>
  </si>
  <si>
    <t>ELECTED OFFICIALS</t>
  </si>
  <si>
    <t>103000</t>
  </si>
  <si>
    <t>10-30</t>
  </si>
  <si>
    <t>M902</t>
  </si>
  <si>
    <t>M903</t>
  </si>
  <si>
    <t>104000</t>
  </si>
  <si>
    <t>10-40</t>
  </si>
  <si>
    <t>M913</t>
  </si>
  <si>
    <t>M914</t>
  </si>
  <si>
    <t>M915</t>
  </si>
  <si>
    <t>ADSDIVLTCNFXIX</t>
  </si>
  <si>
    <t>M918</t>
  </si>
  <si>
    <t>109001</t>
  </si>
  <si>
    <t>10-01</t>
  </si>
  <si>
    <t>M919</t>
  </si>
  <si>
    <t>100100</t>
  </si>
  <si>
    <t>M920</t>
  </si>
  <si>
    <t>M921</t>
  </si>
  <si>
    <t>BUDGET OFFICE</t>
  </si>
  <si>
    <t>701000</t>
  </si>
  <si>
    <t>72-20</t>
  </si>
  <si>
    <t>M923</t>
  </si>
  <si>
    <t>COMMISSIONER, DIST. 1</t>
  </si>
  <si>
    <t>102100</t>
  </si>
  <si>
    <t>10-21</t>
  </si>
  <si>
    <t>M924</t>
  </si>
  <si>
    <t>COMMISSIONER, DIST. 2</t>
  </si>
  <si>
    <t>10-22</t>
  </si>
  <si>
    <t>M925</t>
  </si>
  <si>
    <t>COMMISSIONER, DIST. 3</t>
  </si>
  <si>
    <t>102300</t>
  </si>
  <si>
    <t>10-23</t>
  </si>
  <si>
    <t>M927</t>
  </si>
  <si>
    <t>COMMISSIONER, DIST. 4</t>
  </si>
  <si>
    <t>102400</t>
  </si>
  <si>
    <t>10-24</t>
  </si>
  <si>
    <t>M929</t>
  </si>
  <si>
    <t>102200</t>
  </si>
  <si>
    <t>M935</t>
  </si>
  <si>
    <t>404735</t>
  </si>
  <si>
    <t>M938</t>
  </si>
  <si>
    <t>108925</t>
  </si>
  <si>
    <t>10-90</t>
  </si>
  <si>
    <t>M951</t>
  </si>
  <si>
    <t>405500</t>
  </si>
  <si>
    <t>40-50</t>
  </si>
  <si>
    <t>M952</t>
  </si>
  <si>
    <t>405550</t>
  </si>
  <si>
    <t>M975</t>
  </si>
  <si>
    <t>405760</t>
  </si>
  <si>
    <t>TYPE</t>
  </si>
  <si>
    <t>VENDOR</t>
  </si>
  <si>
    <t>STOP</t>
  </si>
  <si>
    <t>STOP POINTS</t>
  </si>
  <si>
    <t>STOP COSTS</t>
  </si>
  <si>
    <t>RATE</t>
  </si>
  <si>
    <t>SPECIAL DELIVERY HRS</t>
  </si>
  <si>
    <t>SPECIAL DELIVERY COSTS</t>
  </si>
  <si>
    <t>STOP PERCENT</t>
  </si>
  <si>
    <t xml:space="preserve">STOP </t>
  </si>
  <si>
    <t>ADULT COMMUNITY JUSTICE</t>
  </si>
  <si>
    <t>15-20</t>
  </si>
  <si>
    <t>FELONY</t>
  </si>
  <si>
    <t>15-10</t>
  </si>
  <si>
    <t>DA SED.66</t>
  </si>
  <si>
    <t>CORRECTIONS</t>
  </si>
  <si>
    <t>JUVENILE COMMUNTIY JUSTICE</t>
  </si>
  <si>
    <t>PROGRAMS</t>
  </si>
  <si>
    <t xml:space="preserve">NDPT </t>
  </si>
  <si>
    <t>ND-County Attorney</t>
  </si>
  <si>
    <t>B101 BASE</t>
  </si>
  <si>
    <t>'Transportation Support Services</t>
  </si>
  <si>
    <t>10-60</t>
  </si>
  <si>
    <t>'ND-Tax Supervising</t>
  </si>
  <si>
    <t>'ND-Public Affairs Office</t>
  </si>
  <si>
    <t>M242</t>
  </si>
  <si>
    <t>'DA-Felony Court-Trial Unit-Drugs</t>
  </si>
  <si>
    <t>M210</t>
  </si>
  <si>
    <t>M223</t>
  </si>
  <si>
    <t>M327</t>
  </si>
  <si>
    <t>M336</t>
  </si>
  <si>
    <t>M791</t>
  </si>
  <si>
    <t>DELIVERY</t>
  </si>
  <si>
    <t>MMM</t>
  </si>
  <si>
    <t>M441</t>
  </si>
  <si>
    <t>'DCM-Finance&amp;Risk-SAP Support</t>
  </si>
  <si>
    <t>M690</t>
  </si>
  <si>
    <t>EMERGENCY MANAGEMENT</t>
  </si>
  <si>
    <t>72-15</t>
  </si>
  <si>
    <t>DCM-Finance&amp;Risk-General Ledger</t>
  </si>
  <si>
    <t>DCM-IT CA General Government</t>
  </si>
  <si>
    <t>DCM-IT Desktop Hardware Replace</t>
  </si>
  <si>
    <t>DD KIDS LA</t>
  </si>
  <si>
    <t>DA-Family Jstc-Juvenile Trial</t>
  </si>
  <si>
    <t>BOX RENTAL</t>
  </si>
  <si>
    <t>VENDOR PIECES</t>
  </si>
  <si>
    <t>VENDOR COSTS</t>
  </si>
  <si>
    <t>HANDLING COSTS</t>
  </si>
  <si>
    <t>15 RATE</t>
  </si>
  <si>
    <t>OTHR RATE</t>
  </si>
  <si>
    <t>Grand Total</t>
  </si>
  <si>
    <t xml:space="preserve">M008  </t>
  </si>
  <si>
    <t xml:space="preserve">M010  </t>
  </si>
  <si>
    <t xml:space="preserve">M019  </t>
  </si>
  <si>
    <t xml:space="preserve">M022  </t>
  </si>
  <si>
    <t xml:space="preserve">M023  </t>
  </si>
  <si>
    <t xml:space="preserve">M024  </t>
  </si>
  <si>
    <t xml:space="preserve">M075  </t>
  </si>
  <si>
    <t xml:space="preserve">M127  </t>
  </si>
  <si>
    <t xml:space="preserve">M192  </t>
  </si>
  <si>
    <t xml:space="preserve">M193  </t>
  </si>
  <si>
    <t xml:space="preserve">M194  </t>
  </si>
  <si>
    <t xml:space="preserve">M195  </t>
  </si>
  <si>
    <t xml:space="preserve">M198  </t>
  </si>
  <si>
    <t xml:space="preserve">M212  </t>
  </si>
  <si>
    <t xml:space="preserve">M213  </t>
  </si>
  <si>
    <t xml:space="preserve">M216  </t>
  </si>
  <si>
    <t xml:space="preserve">M219  </t>
  </si>
  <si>
    <t xml:space="preserve">M231  </t>
  </si>
  <si>
    <t xml:space="preserve">M233  </t>
  </si>
  <si>
    <t xml:space="preserve">M240  </t>
  </si>
  <si>
    <t xml:space="preserve">M249  </t>
  </si>
  <si>
    <t xml:space="preserve">M250  </t>
  </si>
  <si>
    <t xml:space="preserve">M286  </t>
  </si>
  <si>
    <t xml:space="preserve">M320  </t>
  </si>
  <si>
    <t xml:space="preserve">M323  </t>
  </si>
  <si>
    <t xml:space="preserve">M325  </t>
  </si>
  <si>
    <t xml:space="preserve">M506  </t>
  </si>
  <si>
    <t xml:space="preserve">M531  </t>
  </si>
  <si>
    <t xml:space="preserve">M538  </t>
  </si>
  <si>
    <t xml:space="preserve">M560  </t>
  </si>
  <si>
    <t xml:space="preserve">M593  </t>
  </si>
  <si>
    <t xml:space="preserve">M601  </t>
  </si>
  <si>
    <t xml:space="preserve">M621  </t>
  </si>
  <si>
    <t xml:space="preserve">M631  </t>
  </si>
  <si>
    <t xml:space="preserve">M668  </t>
  </si>
  <si>
    <t xml:space="preserve">M727  </t>
  </si>
  <si>
    <t xml:space="preserve">M741  </t>
  </si>
  <si>
    <t xml:space="preserve">M744  </t>
  </si>
  <si>
    <t xml:space="preserve">M750  </t>
  </si>
  <si>
    <t xml:space="preserve">M756  </t>
  </si>
  <si>
    <t xml:space="preserve">M757  </t>
  </si>
  <si>
    <t xml:space="preserve">M763  </t>
  </si>
  <si>
    <t xml:space="preserve">M769  </t>
  </si>
  <si>
    <t xml:space="preserve">M792  </t>
  </si>
  <si>
    <t xml:space="preserve">M793  </t>
  </si>
  <si>
    <t xml:space="preserve">M813  </t>
  </si>
  <si>
    <t xml:space="preserve">M854  </t>
  </si>
  <si>
    <t xml:space="preserve">M915  </t>
  </si>
  <si>
    <t xml:space="preserve">M975  </t>
  </si>
  <si>
    <t>UPS</t>
  </si>
  <si>
    <t>BUS RPLY/PSTG DUE</t>
  </si>
  <si>
    <t>M128</t>
  </si>
  <si>
    <t>MA SA QM CGF</t>
  </si>
  <si>
    <t>PERMIT</t>
  </si>
  <si>
    <t>FY 2009-2010 DISTRIBUTION SERVICES</t>
  </si>
  <si>
    <t>TOTAL</t>
  </si>
  <si>
    <t># stop points</t>
  </si>
  <si>
    <t>Records</t>
  </si>
  <si>
    <t>Cntrl Strs</t>
  </si>
  <si>
    <t>Subtotal</t>
  </si>
  <si>
    <t>GRAND TOTAL</t>
  </si>
  <si>
    <t>PIECE</t>
  </si>
  <si>
    <t>HANDLING</t>
  </si>
  <si>
    <t>SERVICE</t>
  </si>
  <si>
    <t>INDIRECT</t>
  </si>
  <si>
    <t xml:space="preserve">DEPT </t>
  </si>
  <si>
    <t>ADJUSTED</t>
  </si>
  <si>
    <t>DEPARTMENT</t>
  </si>
  <si>
    <t>COUNT</t>
  </si>
  <si>
    <t>CHARGES</t>
  </si>
  <si>
    <t>COST</t>
  </si>
  <si>
    <t>CHARGE</t>
  </si>
  <si>
    <t>W/INDIRECT</t>
  </si>
  <si>
    <t>ADJ.BUDGETS</t>
  </si>
  <si>
    <t>TOTALS</t>
  </si>
  <si>
    <t>DSCP</t>
  </si>
  <si>
    <t>FY05</t>
  </si>
  <si>
    <t>FY06</t>
  </si>
  <si>
    <t>FY07</t>
  </si>
  <si>
    <t>FY08</t>
  </si>
  <si>
    <t>FY09</t>
  </si>
  <si>
    <t>DBCS</t>
  </si>
  <si>
    <t>LIB</t>
  </si>
  <si>
    <t>NON DEPT</t>
  </si>
  <si>
    <t>OUTSIDE AGENCY</t>
  </si>
  <si>
    <t xml:space="preserve">Total </t>
  </si>
  <si>
    <t>FY 2007-2008 DISTRIBUTION SERVICES</t>
  </si>
  <si>
    <t>INTERNAL SERVICE REIMBURSEMENT PROJECTIONS</t>
  </si>
  <si>
    <t>FY08 Rate</t>
  </si>
  <si>
    <t>DEPT BUDGET</t>
  </si>
  <si>
    <t>ADOPTED</t>
  </si>
  <si>
    <t>ESTIMATED</t>
  </si>
  <si>
    <t>ADJUSTMENT</t>
  </si>
  <si>
    <t>BUDGET</t>
  </si>
  <si>
    <t>ND</t>
  </si>
  <si>
    <t>OA</t>
  </si>
  <si>
    <t># points</t>
  </si>
  <si>
    <t>Records/Material Management</t>
  </si>
  <si>
    <t>Total w/Records and M Management</t>
  </si>
  <si>
    <t>Total Points including Records and Material Management</t>
  </si>
  <si>
    <t>FY 2006-2007 DISTRIBUTION SERVICES</t>
  </si>
  <si>
    <t>FY07 Rate</t>
  </si>
  <si>
    <t>DHS</t>
  </si>
  <si>
    <t>OSCP</t>
  </si>
  <si>
    <t>FY 2005-2006 DISTRIBUTION SERVICES</t>
  </si>
  <si>
    <t>FY06 Rate</t>
  </si>
  <si>
    <t>FY 2004-2005 DISTRIBUTION SERVICES</t>
  </si>
  <si>
    <t>FY05 Rate Change - Stops to 2170 annual rate</t>
  </si>
  <si>
    <t>No Change</t>
  </si>
  <si>
    <t>No detail -  records/stores pulled out of budget.</t>
  </si>
  <si>
    <t>No detail for Distr.</t>
  </si>
  <si>
    <t xml:space="preserve">These figures still need to be </t>
  </si>
  <si>
    <t>updated to final adopted budget</t>
  </si>
  <si>
    <t>FY10</t>
  </si>
  <si>
    <t>FY 2008-2009 DISTRIBUTION SERVICES</t>
  </si>
  <si>
    <t>FY08 to FY09</t>
  </si>
  <si>
    <t>FY09 Rate</t>
  </si>
  <si>
    <t>Rate Diff</t>
  </si>
  <si>
    <t>care oregon</t>
  </si>
  <si>
    <t>Records/Materiel Mgmt</t>
  </si>
  <si>
    <t>Total w/ Rec &amp; MM</t>
  </si>
  <si>
    <t>CareOregon</t>
  </si>
  <si>
    <t>RATE INCR</t>
  </si>
  <si>
    <t>M239 Total</t>
  </si>
  <si>
    <t>M240 Total</t>
  </si>
  <si>
    <t>M242 Total</t>
  </si>
  <si>
    <t>M243 Total</t>
  </si>
  <si>
    <t>M244 Total</t>
  </si>
  <si>
    <t>M245 Total</t>
  </si>
  <si>
    <t>M246 Total</t>
  </si>
  <si>
    <t>M247 Total</t>
  </si>
  <si>
    <t>M248 Total</t>
  </si>
  <si>
    <t>MMM Total</t>
  </si>
  <si>
    <t>Total Charges</t>
  </si>
  <si>
    <t>M015 Total</t>
  </si>
  <si>
    <t>M016 Total</t>
  </si>
  <si>
    <t>M018 Total</t>
  </si>
  <si>
    <t>M110 Total</t>
  </si>
  <si>
    <t>M122 Total</t>
  </si>
  <si>
    <t>M124 Total</t>
  </si>
  <si>
    <t>M127 Total</t>
  </si>
  <si>
    <t>M128 Total</t>
  </si>
  <si>
    <t>M130 Total</t>
  </si>
  <si>
    <t>M131 Total</t>
  </si>
  <si>
    <t>M134 Total</t>
  </si>
  <si>
    <t>M142 Total</t>
  </si>
  <si>
    <t>M143 Total</t>
  </si>
  <si>
    <t>M161 Total</t>
  </si>
  <si>
    <t>M171 Total</t>
  </si>
  <si>
    <t>M172 Total</t>
  </si>
  <si>
    <t>M191 Total</t>
  </si>
  <si>
    <t>M192 Total</t>
  </si>
  <si>
    <t>M193 Total</t>
  </si>
  <si>
    <t>M194 Total</t>
  </si>
  <si>
    <t>M195 Total</t>
  </si>
  <si>
    <t>M198 Total</t>
  </si>
  <si>
    <t>M210 Total</t>
  </si>
  <si>
    <t>M257 Total</t>
  </si>
  <si>
    <t>M531 Total</t>
  </si>
  <si>
    <t>M535 Total</t>
  </si>
  <si>
    <t>M558 Total</t>
  </si>
  <si>
    <t>M605 Total</t>
  </si>
  <si>
    <t>M727 Total</t>
  </si>
  <si>
    <t>M913 Total</t>
  </si>
  <si>
    <t>M914 Total</t>
  </si>
  <si>
    <t>M915 Total</t>
  </si>
  <si>
    <t>M101 Total</t>
  </si>
  <si>
    <t>M102 Total</t>
  </si>
  <si>
    <t>M212 Total</t>
  </si>
  <si>
    <t>M213 Total</t>
  </si>
  <si>
    <t>M214 Total</t>
  </si>
  <si>
    <t>M215 Total</t>
  </si>
  <si>
    <t>M216 Total</t>
  </si>
  <si>
    <t>M217 Total</t>
  </si>
  <si>
    <t>M218 Total</t>
  </si>
  <si>
    <t>M219 Total</t>
  </si>
  <si>
    <t>M220 Total</t>
  </si>
  <si>
    <t>M223 Total</t>
  </si>
  <si>
    <t>M227 Total</t>
  </si>
  <si>
    <t>M228 Total</t>
  </si>
  <si>
    <t>M235 Total</t>
  </si>
  <si>
    <t>M250 Total</t>
  </si>
  <si>
    <t>M254 Total</t>
  </si>
  <si>
    <t>M275 Total</t>
  </si>
  <si>
    <t>M280 Total</t>
  </si>
  <si>
    <t>M285 Total</t>
  </si>
  <si>
    <t>M286 Total</t>
  </si>
  <si>
    <t>M290 Total</t>
  </si>
  <si>
    <t>M291 Total</t>
  </si>
  <si>
    <t>M328 Total</t>
  </si>
  <si>
    <t>M336 Total</t>
  </si>
  <si>
    <t>M804 Total</t>
  </si>
  <si>
    <t>M861 Total</t>
  </si>
  <si>
    <t>M008 Total</t>
  </si>
  <si>
    <t>M230 Total</t>
  </si>
  <si>
    <t>M500 Total</t>
  </si>
  <si>
    <t>M506 Total</t>
  </si>
  <si>
    <t>M507 Total</t>
  </si>
  <si>
    <t>M564 Total</t>
  </si>
  <si>
    <t>M570 Total</t>
  </si>
  <si>
    <t>M593 Total</t>
  </si>
  <si>
    <t>M610 Total</t>
  </si>
  <si>
    <t>M690 Total</t>
  </si>
  <si>
    <t>M722 Total</t>
  </si>
  <si>
    <t>M732 Total</t>
  </si>
  <si>
    <t>M734 Total</t>
  </si>
  <si>
    <t>M735 Total</t>
  </si>
  <si>
    <t>M736 Total</t>
  </si>
  <si>
    <t>M739 Total</t>
  </si>
  <si>
    <t>M740 Total</t>
  </si>
  <si>
    <t>M741 Total</t>
  </si>
  <si>
    <t>M743 Total</t>
  </si>
  <si>
    <t>M744 Total</t>
  </si>
  <si>
    <t>M745 Total</t>
  </si>
  <si>
    <t>M746 Total</t>
  </si>
  <si>
    <t>M747 Total</t>
  </si>
  <si>
    <t>M748 Total</t>
  </si>
  <si>
    <t>M749 Total</t>
  </si>
  <si>
    <t>M750 Total</t>
  </si>
  <si>
    <t>M753 Total</t>
  </si>
  <si>
    <t>M754 Total</t>
  </si>
  <si>
    <t>M756 Total</t>
  </si>
  <si>
    <t>M757 Total</t>
  </si>
  <si>
    <t>M758 Total</t>
  </si>
  <si>
    <t>M763 Total</t>
  </si>
  <si>
    <t>M766 Total</t>
  </si>
  <si>
    <t>M786 Total</t>
  </si>
  <si>
    <t>M788 Total</t>
  </si>
  <si>
    <t>M791 Total</t>
  </si>
  <si>
    <t>M792   Total</t>
  </si>
  <si>
    <t>M793 Total</t>
  </si>
  <si>
    <t>M921 Total</t>
  </si>
  <si>
    <t>M522 Total</t>
  </si>
  <si>
    <t>M538 Total</t>
  </si>
  <si>
    <t>M539 Total</t>
  </si>
  <si>
    <t>M540 Total</t>
  </si>
  <si>
    <t>M655 Total</t>
  </si>
  <si>
    <t>M661 Total</t>
  </si>
  <si>
    <t>M700 Total</t>
  </si>
  <si>
    <t>M769 Total</t>
  </si>
  <si>
    <t>M772 Total</t>
  </si>
  <si>
    <t>M777 Total</t>
  </si>
  <si>
    <t>M778 Total</t>
  </si>
  <si>
    <t>M835 Total</t>
  </si>
  <si>
    <t>M900 Total</t>
  </si>
  <si>
    <t>M009 Total</t>
  </si>
  <si>
    <t>M010 Total</t>
  </si>
  <si>
    <t>M011 Total</t>
  </si>
  <si>
    <t>M019 Total</t>
  </si>
  <si>
    <t>M021 Total</t>
  </si>
  <si>
    <t>M022 Total</t>
  </si>
  <si>
    <t>M023 Total</t>
  </si>
  <si>
    <t>M024 Total</t>
  </si>
  <si>
    <t>M025 Total</t>
  </si>
  <si>
    <t>M026 Total</t>
  </si>
  <si>
    <t>M030 Total</t>
  </si>
  <si>
    <t>M040 Total</t>
  </si>
  <si>
    <t>M044 Total</t>
  </si>
  <si>
    <t>M046 Total</t>
  </si>
  <si>
    <t>M051 Total</t>
  </si>
  <si>
    <t>M053 Total</t>
  </si>
  <si>
    <t>M070 Total</t>
  </si>
  <si>
    <t>M071 Total</t>
  </si>
  <si>
    <t>M072 Total</t>
  </si>
  <si>
    <t>M075 Total</t>
  </si>
  <si>
    <t>M082 Total</t>
  </si>
  <si>
    <t>M092 Total</t>
  </si>
  <si>
    <t>M093 Total</t>
  </si>
  <si>
    <t>M231 Total</t>
  </si>
  <si>
    <t>M233 Total</t>
  </si>
  <si>
    <t>M249 Total</t>
  </si>
  <si>
    <t>M309 Total</t>
  </si>
  <si>
    <t>M310 Total</t>
  </si>
  <si>
    <t>M311 Total</t>
  </si>
  <si>
    <t>M314 Total</t>
  </si>
  <si>
    <t>M315 Total</t>
  </si>
  <si>
    <t>M316 Total</t>
  </si>
  <si>
    <t>M320 Total</t>
  </si>
  <si>
    <t>M416 Total</t>
  </si>
  <si>
    <t>M430 Total</t>
  </si>
  <si>
    <t>M441 Total</t>
  </si>
  <si>
    <t>M445 Total</t>
  </si>
  <si>
    <t>M451 Total</t>
  </si>
  <si>
    <t>M452 Total</t>
  </si>
  <si>
    <t>M453 Total</t>
  </si>
  <si>
    <t>M454 Total</t>
  </si>
  <si>
    <t>M455 Total</t>
  </si>
  <si>
    <t>M456 Total</t>
  </si>
  <si>
    <t>M457 Total</t>
  </si>
  <si>
    <t>M458 Total</t>
  </si>
  <si>
    <t>M459 Total</t>
  </si>
  <si>
    <t>M460 Total</t>
  </si>
  <si>
    <t>M461 Total</t>
  </si>
  <si>
    <t>M465 Total</t>
  </si>
  <si>
    <t>M466 Total</t>
  </si>
  <si>
    <t>M472 Total</t>
  </si>
  <si>
    <t>M478 Total</t>
  </si>
  <si>
    <t>M479 Total</t>
  </si>
  <si>
    <t>M480 Total</t>
  </si>
  <si>
    <t>M481 Total</t>
  </si>
  <si>
    <t>M490 Total</t>
  </si>
  <si>
    <t>M492 Total</t>
  </si>
  <si>
    <t>M494 Total</t>
  </si>
  <si>
    <t>M601 Total</t>
  </si>
  <si>
    <t>M611 Total</t>
  </si>
  <si>
    <t>M612 Total</t>
  </si>
  <si>
    <t>M621 Total</t>
  </si>
  <si>
    <t>M624 Total</t>
  </si>
  <si>
    <t>M630 Total</t>
  </si>
  <si>
    <t>M631 Total</t>
  </si>
  <si>
    <t>M632 Total</t>
  </si>
  <si>
    <t>M634 Total</t>
  </si>
  <si>
    <t>M641 Total</t>
  </si>
  <si>
    <t>M643 Total</t>
  </si>
  <si>
    <t>M668 Total</t>
  </si>
  <si>
    <t>M671 Total</t>
  </si>
  <si>
    <t>M674 Total</t>
  </si>
  <si>
    <t>M703 Total</t>
  </si>
  <si>
    <t>M714 Total</t>
  </si>
  <si>
    <t>M717 Total</t>
  </si>
  <si>
    <t>M811 Total</t>
  </si>
  <si>
    <t>M813 Total</t>
  </si>
  <si>
    <t>M814 Total</t>
  </si>
  <si>
    <t>M852 Total</t>
  </si>
  <si>
    <t>M853 Total</t>
  </si>
  <si>
    <t>M854 Total</t>
  </si>
  <si>
    <t>M882 Total</t>
  </si>
  <si>
    <t>M935 Total</t>
  </si>
  <si>
    <t>M951 Total</t>
  </si>
  <si>
    <t>M952 Total</t>
  </si>
  <si>
    <t>M975 Total</t>
  </si>
  <si>
    <t>M302 Total</t>
  </si>
  <si>
    <t>M321 Total</t>
  </si>
  <si>
    <t>M322 Total</t>
  </si>
  <si>
    <t>M323 Total</t>
  </si>
  <si>
    <t>M324 Total</t>
  </si>
  <si>
    <t>M325 Total</t>
  </si>
  <si>
    <t>M326 Total</t>
  </si>
  <si>
    <t>M327 Total</t>
  </si>
  <si>
    <t>M350 Total</t>
  </si>
  <si>
    <t>M381 Total</t>
  </si>
  <si>
    <t>M395 Total</t>
  </si>
  <si>
    <t>M401 Total</t>
  </si>
  <si>
    <t>M403 Total</t>
  </si>
  <si>
    <t>M411 Total</t>
  </si>
  <si>
    <t>M035 Total</t>
  </si>
  <si>
    <t>M045 Total</t>
  </si>
  <si>
    <t>M560 Total</t>
  </si>
  <si>
    <t>M561 Total</t>
  </si>
  <si>
    <t>M901 Total</t>
  </si>
  <si>
    <t>M902 Total</t>
  </si>
  <si>
    <t>M903 Total</t>
  </si>
  <si>
    <t>M904 Total</t>
  </si>
  <si>
    <t>M918 Total</t>
  </si>
  <si>
    <t>M919 Total</t>
  </si>
  <si>
    <t>M920 Total</t>
  </si>
  <si>
    <t>M922 Total</t>
  </si>
  <si>
    <t>M923 Total</t>
  </si>
  <si>
    <t>M924 Total</t>
  </si>
  <si>
    <t>M925 Total</t>
  </si>
  <si>
    <t>M926 Total</t>
  </si>
  <si>
    <t>M927 Total</t>
  </si>
  <si>
    <t>M928 Total</t>
  </si>
  <si>
    <t>M929 Total</t>
  </si>
  <si>
    <t>M937 Total</t>
  </si>
  <si>
    <t>M938 Total</t>
  </si>
  <si>
    <t>Distribution</t>
  </si>
  <si>
    <t>Rates:</t>
  </si>
  <si>
    <t>Pre-Sort Mail</t>
  </si>
  <si>
    <t>per piece</t>
  </si>
  <si>
    <t>Other USPS Mail</t>
  </si>
  <si>
    <t>Vended Mail</t>
  </si>
  <si>
    <t>Shop Rate</t>
  </si>
  <si>
    <t>per hour</t>
  </si>
  <si>
    <t>Account Charge</t>
  </si>
  <si>
    <t>per month with mail</t>
  </si>
  <si>
    <t>Postage</t>
  </si>
  <si>
    <t>Stop Charge</t>
  </si>
  <si>
    <t>per point</t>
  </si>
  <si>
    <t>GF/Central Indirect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</si>
</sst>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#,##0.00000000000000000000_);[Red]\(#,##0.00000000000000000000\)"/>
    <numFmt numFmtId="167" formatCode="0.00000_)"/>
    <numFmt numFmtId="168" formatCode="0.00_);[Red]\(0.00\)"/>
    <numFmt numFmtId="169" formatCode="#,##0.0"/>
    <numFmt numFmtId="170" formatCode="&quot;$&quot;#,##0.0_);[Red]\(&quot;$&quot;#,##0.0\)"/>
    <numFmt numFmtId="171" formatCode="0.0"/>
    <numFmt numFmtId="172" formatCode="&quot;$&quot;#,##0"/>
    <numFmt numFmtId="173" formatCode="&quot;$&quot;#,##0.00"/>
    <numFmt numFmtId="174" formatCode="0.000%"/>
    <numFmt numFmtId="175" formatCode="&quot;$&quot;#,##0.00000_);\(&quot;$&quot;#,##0.00000\)"/>
    <numFmt numFmtId="176" formatCode="0.0%"/>
    <numFmt numFmtId="177" formatCode="&quot;$&quot;#,##0.0000_);[Red]\(&quot;$&quot;#,##0.0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(* #,##0.0_);_(* \(#,##0.0\);_(* &quot;-&quot;??_);_(@_)"/>
    <numFmt numFmtId="184" formatCode="_(* #,##0_);_(* \(#,##0\);_(* &quot;-&quot;??_);_(@_)"/>
    <numFmt numFmtId="185" formatCode="#,##0.000"/>
    <numFmt numFmtId="186" formatCode="[$$-409]#,##0.00_);\([$$-409]#,##0.00\)"/>
    <numFmt numFmtId="187" formatCode="0_)"/>
    <numFmt numFmtId="188" formatCode="0.000_)"/>
    <numFmt numFmtId="189" formatCode="0.0_)"/>
    <numFmt numFmtId="190" formatCode="0.00_)"/>
    <numFmt numFmtId="191" formatCode="#,##0.0000"/>
    <numFmt numFmtId="192" formatCode="0.00000000"/>
    <numFmt numFmtId="193" formatCode="&quot;$&quot;#,##0.000_);\(&quot;$&quot;#,##0.000\)"/>
    <numFmt numFmtId="194" formatCode="&quot;$&quot;#,##0.0000_);\(&quot;$&quot;#,##0.0000\)"/>
    <numFmt numFmtId="195" formatCode="&quot;$&quot;#,##0.0_);\(&quot;$&quot;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"/>
    <numFmt numFmtId="200" formatCode="0.000000000000000"/>
    <numFmt numFmtId="201" formatCode="0.000000000000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[$€-2]\ #,##0.00_);[Red]\([$€-2]\ #,##0.00\)"/>
    <numFmt numFmtId="208" formatCode="[$$-409]#,##0.000_);\([$$-409]#,##0.000\)"/>
    <numFmt numFmtId="209" formatCode="[$$-409]#,##0.0_);\([$$-409]#,##0.0\)"/>
    <numFmt numFmtId="210" formatCode="[$$-409]#,##0_);\([$$-409]#,##0\)"/>
    <numFmt numFmtId="211" formatCode="#,##0.00000000000"/>
    <numFmt numFmtId="212" formatCode="#,##0.0_);\(#,##0.0\)"/>
    <numFmt numFmtId="213" formatCode="_(* #,##0.000_);_(* \(#,##0.000\);_(* &quot;-&quot;??_);_(@_)"/>
    <numFmt numFmtId="214" formatCode="_(* #,##0.0000_);_(* \(#,##0.0000\);_(* &quot;-&quot;??_);_(@_)"/>
  </numFmts>
  <fonts count="23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Tahoma"/>
      <family val="2"/>
    </font>
    <font>
      <sz val="10"/>
      <name val="MS Sans Serif"/>
      <family val="0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MS Sans Serif"/>
      <family val="0"/>
    </font>
    <font>
      <b/>
      <sz val="12"/>
      <color indexed="8"/>
      <name val="Arial"/>
      <family val="2"/>
    </font>
    <font>
      <sz val="10"/>
      <name val="Courier"/>
      <family val="0"/>
    </font>
    <font>
      <b/>
      <sz val="10"/>
      <color indexed="10"/>
      <name val="Arial"/>
      <family val="2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0"/>
      <color indexed="8"/>
      <name val="ARIAL"/>
      <family val="2"/>
    </font>
    <font>
      <sz val="10"/>
      <color indexed="10"/>
      <name val="Courier"/>
      <family val="3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  <protection/>
    </xf>
    <xf numFmtId="0" fontId="4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4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2" applyFont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26" applyFont="1" applyFill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25" applyFont="1" applyBorder="1" applyAlignment="1">
      <alignment/>
      <protection/>
    </xf>
    <xf numFmtId="168" fontId="0" fillId="0" borderId="0" xfId="25" applyNumberFormat="1" applyFont="1" applyBorder="1" applyAlignment="1">
      <alignment/>
      <protection/>
    </xf>
    <xf numFmtId="0" fontId="0" fillId="0" borderId="0" xfId="25" applyFont="1" applyFill="1" applyBorder="1" applyAlignment="1">
      <alignment/>
      <protection/>
    </xf>
    <xf numFmtId="0" fontId="0" fillId="0" borderId="0" xfId="0" applyFont="1" applyFill="1" applyAlignment="1">
      <alignment horizontal="left"/>
    </xf>
    <xf numFmtId="168" fontId="0" fillId="0" borderId="0" xfId="25" applyNumberFormat="1" applyFont="1" applyFill="1" applyBorder="1" applyAlignment="1">
      <alignment/>
      <protection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49" fontId="0" fillId="0" borderId="0" xfId="26" applyNumberFormat="1" applyFont="1">
      <alignment/>
      <protection/>
    </xf>
    <xf numFmtId="0" fontId="0" fillId="0" borderId="0" xfId="0" applyNumberFormat="1" applyFont="1" applyFill="1" applyAlignment="1">
      <alignment horizontal="left"/>
    </xf>
    <xf numFmtId="0" fontId="12" fillId="0" borderId="0" xfId="21" applyNumberFormat="1" applyFont="1" applyFill="1" applyBorder="1" applyAlignment="1">
      <alignment horizontal="left" vertical="top"/>
      <protection/>
    </xf>
    <xf numFmtId="0" fontId="12" fillId="0" borderId="0" xfId="21" applyFont="1" applyFill="1" applyBorder="1" applyAlignment="1">
      <alignment horizontal="left" vertical="top"/>
      <protection/>
    </xf>
    <xf numFmtId="0" fontId="0" fillId="0" borderId="0" xfId="25" applyFont="1" applyBorder="1" applyAlignment="1" quotePrefix="1">
      <alignment/>
      <protection/>
    </xf>
    <xf numFmtId="0" fontId="0" fillId="0" borderId="0" xfId="0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0" fontId="14" fillId="0" borderId="0" xfId="21" applyFont="1" applyFill="1" applyBorder="1" applyAlignment="1">
      <alignment horizontal="left" vertical="top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25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14" fillId="0" borderId="0" xfId="21" applyNumberFormat="1" applyFont="1" applyFill="1" applyBorder="1" applyAlignment="1">
      <alignment horizontal="left" vertical="top"/>
      <protection/>
    </xf>
    <xf numFmtId="0" fontId="6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/>
    </xf>
    <xf numFmtId="38" fontId="6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6" fillId="0" borderId="0" xfId="25" applyNumberFormat="1" applyFont="1" applyBorder="1" applyAlignment="1">
      <alignment/>
      <protection/>
    </xf>
    <xf numFmtId="168" fontId="6" fillId="0" borderId="0" xfId="25" applyNumberFormat="1" applyFont="1" applyBorder="1" applyAlignment="1">
      <alignment/>
      <protection/>
    </xf>
    <xf numFmtId="8" fontId="6" fillId="0" borderId="2" xfId="0" applyNumberFormat="1" applyFont="1" applyBorder="1" applyAlignment="1">
      <alignment/>
    </xf>
    <xf numFmtId="38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8" fontId="6" fillId="0" borderId="3" xfId="0" applyNumberFormat="1" applyFont="1" applyBorder="1" applyAlignment="1">
      <alignment/>
    </xf>
    <xf numFmtId="0" fontId="16" fillId="0" borderId="4" xfId="23" applyFont="1" applyBorder="1">
      <alignment/>
      <protection/>
    </xf>
    <xf numFmtId="0" fontId="17" fillId="0" borderId="4" xfId="23" applyFont="1" applyBorder="1">
      <alignment/>
      <protection/>
    </xf>
    <xf numFmtId="0" fontId="17" fillId="0" borderId="4" xfId="23" applyFont="1" applyBorder="1" applyAlignment="1">
      <alignment horizontal="center"/>
      <protection/>
    </xf>
    <xf numFmtId="7" fontId="17" fillId="0" borderId="4" xfId="23" applyNumberFormat="1" applyFont="1" applyBorder="1" applyAlignment="1">
      <alignment horizontal="center"/>
      <protection/>
    </xf>
    <xf numFmtId="0" fontId="15" fillId="0" borderId="0" xfId="23">
      <alignment/>
      <protection/>
    </xf>
    <xf numFmtId="0" fontId="17" fillId="0" borderId="1" xfId="23" applyFont="1" applyBorder="1" applyAlignment="1" applyProtection="1">
      <alignment horizontal="left"/>
      <protection/>
    </xf>
    <xf numFmtId="0" fontId="17" fillId="0" borderId="1" xfId="23" applyFont="1" applyBorder="1" applyAlignment="1" applyProtection="1">
      <alignment horizontal="center"/>
      <protection/>
    </xf>
    <xf numFmtId="0" fontId="17" fillId="0" borderId="1" xfId="23" applyFont="1" applyBorder="1" applyAlignment="1">
      <alignment horizontal="center"/>
      <protection/>
    </xf>
    <xf numFmtId="7" fontId="17" fillId="0" borderId="1" xfId="23" applyNumberFormat="1" applyFont="1" applyBorder="1" applyAlignment="1" applyProtection="1">
      <alignment horizontal="center"/>
      <protection/>
    </xf>
    <xf numFmtId="0" fontId="18" fillId="0" borderId="0" xfId="23" applyFont="1" applyAlignment="1" applyProtection="1">
      <alignment horizontal="left"/>
      <protection/>
    </xf>
    <xf numFmtId="3" fontId="3" fillId="0" borderId="0" xfId="23" applyNumberFormat="1" applyFont="1" applyProtection="1">
      <alignment/>
      <protection locked="0"/>
    </xf>
    <xf numFmtId="172" fontId="3" fillId="0" borderId="0" xfId="23" applyNumberFormat="1" applyFont="1" applyProtection="1">
      <alignment/>
      <protection locked="0"/>
    </xf>
    <xf numFmtId="0" fontId="17" fillId="0" borderId="0" xfId="23" applyFont="1">
      <alignment/>
      <protection/>
    </xf>
    <xf numFmtId="0" fontId="15" fillId="0" borderId="0" xfId="23" applyFont="1">
      <alignment/>
      <protection/>
    </xf>
    <xf numFmtId="0" fontId="17" fillId="0" borderId="0" xfId="23" applyFont="1" applyBorder="1">
      <alignment/>
      <protection/>
    </xf>
    <xf numFmtId="0" fontId="15" fillId="0" borderId="0" xfId="23" applyBorder="1">
      <alignment/>
      <protection/>
    </xf>
    <xf numFmtId="0" fontId="17" fillId="0" borderId="0" xfId="23" applyFont="1" applyAlignment="1" applyProtection="1">
      <alignment horizontal="left"/>
      <protection/>
    </xf>
    <xf numFmtId="3" fontId="19" fillId="0" borderId="0" xfId="23" applyNumberFormat="1" applyFont="1" applyProtection="1">
      <alignment/>
      <protection locked="0"/>
    </xf>
    <xf numFmtId="172" fontId="19" fillId="0" borderId="0" xfId="23" applyNumberFormat="1" applyFont="1" applyProtection="1">
      <alignment/>
      <protection locked="0"/>
    </xf>
    <xf numFmtId="0" fontId="17" fillId="0" borderId="0" xfId="23" applyFont="1">
      <alignment/>
      <protection/>
    </xf>
    <xf numFmtId="4" fontId="15" fillId="0" borderId="0" xfId="23" applyNumberFormat="1">
      <alignment/>
      <protection/>
    </xf>
    <xf numFmtId="173" fontId="15" fillId="0" borderId="0" xfId="23" applyNumberFormat="1">
      <alignment/>
      <protection/>
    </xf>
    <xf numFmtId="7" fontId="15" fillId="0" borderId="0" xfId="23" applyNumberFormat="1">
      <alignment/>
      <protection/>
    </xf>
    <xf numFmtId="0" fontId="20" fillId="0" borderId="0" xfId="23" applyFont="1">
      <alignment/>
      <protection/>
    </xf>
    <xf numFmtId="8" fontId="4" fillId="0" borderId="0" xfId="17" applyNumberFormat="1" applyFill="1" applyAlignment="1">
      <alignment horizontal="center"/>
    </xf>
    <xf numFmtId="174" fontId="15" fillId="0" borderId="0" xfId="23" applyNumberFormat="1">
      <alignment/>
      <protection/>
    </xf>
    <xf numFmtId="9" fontId="15" fillId="0" borderId="0" xfId="23" applyNumberFormat="1">
      <alignment/>
      <protection/>
    </xf>
    <xf numFmtId="10" fontId="15" fillId="0" borderId="0" xfId="23" applyNumberFormat="1">
      <alignment/>
      <protection/>
    </xf>
    <xf numFmtId="7" fontId="17" fillId="0" borderId="0" xfId="23" applyNumberFormat="1" applyFont="1" applyBorder="1" applyAlignment="1">
      <alignment horizontal="center"/>
      <protection/>
    </xf>
    <xf numFmtId="7" fontId="17" fillId="0" borderId="0" xfId="23" applyNumberFormat="1" applyFont="1" applyFill="1" applyBorder="1" applyAlignment="1">
      <alignment horizontal="center"/>
      <protection/>
    </xf>
    <xf numFmtId="7" fontId="17" fillId="0" borderId="0" xfId="23" applyNumberFormat="1" applyFont="1" applyBorder="1" applyAlignment="1" applyProtection="1">
      <alignment horizontal="center"/>
      <protection/>
    </xf>
    <xf numFmtId="7" fontId="17" fillId="0" borderId="0" xfId="23" applyNumberFormat="1" applyFont="1" applyFill="1" applyBorder="1" applyAlignment="1" applyProtection="1">
      <alignment horizontal="center"/>
      <protection/>
    </xf>
    <xf numFmtId="37" fontId="15" fillId="0" borderId="0" xfId="23" applyNumberFormat="1">
      <alignment/>
      <protection/>
    </xf>
    <xf numFmtId="7" fontId="15" fillId="0" borderId="0" xfId="23" applyNumberFormat="1" applyFill="1">
      <alignment/>
      <protection/>
    </xf>
    <xf numFmtId="5" fontId="15" fillId="0" borderId="0" xfId="23" applyNumberFormat="1">
      <alignment/>
      <protection/>
    </xf>
    <xf numFmtId="5" fontId="15" fillId="0" borderId="0" xfId="23" applyNumberFormat="1" applyFont="1">
      <alignment/>
      <protection/>
    </xf>
    <xf numFmtId="5" fontId="15" fillId="2" borderId="0" xfId="23" applyNumberFormat="1" applyFill="1">
      <alignment/>
      <protection/>
    </xf>
    <xf numFmtId="39" fontId="15" fillId="0" borderId="0" xfId="23" applyNumberFormat="1">
      <alignment/>
      <protection/>
    </xf>
    <xf numFmtId="7" fontId="15" fillId="0" borderId="0" xfId="23" applyNumberFormat="1" applyFill="1" applyBorder="1">
      <alignment/>
      <protection/>
    </xf>
    <xf numFmtId="7" fontId="15" fillId="0" borderId="0" xfId="23" applyNumberFormat="1" applyFont="1" applyFill="1" applyBorder="1">
      <alignment/>
      <protection/>
    </xf>
    <xf numFmtId="0" fontId="15" fillId="0" borderId="0" xfId="23" applyFill="1" applyBorder="1">
      <alignment/>
      <protection/>
    </xf>
    <xf numFmtId="2" fontId="15" fillId="0" borderId="0" xfId="23" applyNumberFormat="1" applyFill="1" applyBorder="1">
      <alignment/>
      <protection/>
    </xf>
    <xf numFmtId="37" fontId="15" fillId="0" borderId="0" xfId="23" applyNumberFormat="1" applyFill="1">
      <alignment/>
      <protection/>
    </xf>
    <xf numFmtId="5" fontId="15" fillId="0" borderId="0" xfId="23" applyNumberFormat="1" applyFont="1" applyFill="1">
      <alignment/>
      <protection/>
    </xf>
    <xf numFmtId="37" fontId="15" fillId="0" borderId="5" xfId="23" applyNumberFormat="1" applyBorder="1">
      <alignment/>
      <protection/>
    </xf>
    <xf numFmtId="7" fontId="15" fillId="0" borderId="5" xfId="23" applyNumberFormat="1" applyBorder="1">
      <alignment/>
      <protection/>
    </xf>
    <xf numFmtId="5" fontId="15" fillId="0" borderId="5" xfId="23" applyNumberFormat="1" applyBorder="1">
      <alignment/>
      <protection/>
    </xf>
    <xf numFmtId="37" fontId="15" fillId="0" borderId="4" xfId="23" applyNumberFormat="1" applyBorder="1">
      <alignment/>
      <protection/>
    </xf>
    <xf numFmtId="7" fontId="15" fillId="0" borderId="4" xfId="23" applyNumberFormat="1" applyBorder="1">
      <alignment/>
      <protection/>
    </xf>
    <xf numFmtId="5" fontId="15" fillId="0" borderId="4" xfId="23" applyNumberFormat="1" applyBorder="1">
      <alignment/>
      <protection/>
    </xf>
    <xf numFmtId="39" fontId="15" fillId="0" borderId="4" xfId="23" applyNumberFormat="1" applyBorder="1">
      <alignment/>
      <protection/>
    </xf>
    <xf numFmtId="39" fontId="15" fillId="0" borderId="0" xfId="23" applyNumberFormat="1" applyBorder="1">
      <alignment/>
      <protection/>
    </xf>
    <xf numFmtId="175" fontId="15" fillId="0" borderId="0" xfId="23" applyNumberFormat="1">
      <alignment/>
      <protection/>
    </xf>
    <xf numFmtId="173" fontId="15" fillId="0" borderId="0" xfId="23" applyNumberFormat="1" applyBorder="1">
      <alignment/>
      <protection/>
    </xf>
    <xf numFmtId="0" fontId="15" fillId="0" borderId="0" xfId="23" applyAlignment="1">
      <alignment horizontal="right"/>
      <protection/>
    </xf>
    <xf numFmtId="3" fontId="15" fillId="0" borderId="0" xfId="23" applyNumberFormat="1">
      <alignment/>
      <protection/>
    </xf>
    <xf numFmtId="5" fontId="15" fillId="0" borderId="0" xfId="23" applyNumberFormat="1" applyFill="1">
      <alignment/>
      <protection/>
    </xf>
    <xf numFmtId="7" fontId="15" fillId="0" borderId="0" xfId="23" applyNumberFormat="1" applyFont="1">
      <alignment/>
      <protection/>
    </xf>
    <xf numFmtId="44" fontId="15" fillId="0" borderId="0" xfId="17" applyAlignment="1">
      <alignment/>
    </xf>
    <xf numFmtId="44" fontId="15" fillId="0" borderId="0" xfId="17" applyFill="1" applyAlignment="1">
      <alignment/>
    </xf>
    <xf numFmtId="44" fontId="15" fillId="0" borderId="5" xfId="17" applyBorder="1" applyAlignment="1">
      <alignment/>
    </xf>
    <xf numFmtId="4" fontId="15" fillId="0" borderId="0" xfId="23" applyNumberFormat="1" applyFill="1">
      <alignment/>
      <protection/>
    </xf>
    <xf numFmtId="4" fontId="15" fillId="0" borderId="5" xfId="23" applyNumberFormat="1" applyBorder="1">
      <alignment/>
      <protection/>
    </xf>
    <xf numFmtId="0" fontId="0" fillId="0" borderId="1" xfId="0" applyFont="1" applyBorder="1" applyAlignment="1">
      <alignment/>
    </xf>
    <xf numFmtId="0" fontId="15" fillId="0" borderId="0" xfId="23" applyFont="1" applyAlignment="1">
      <alignment horizontal="center"/>
      <protection/>
    </xf>
    <xf numFmtId="7" fontId="15" fillId="0" borderId="0" xfId="23" applyNumberFormat="1" applyBorder="1">
      <alignment/>
      <protection/>
    </xf>
    <xf numFmtId="8" fontId="0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38" fontId="6" fillId="0" borderId="0" xfId="0" applyNumberFormat="1" applyFont="1" applyBorder="1" applyAlignment="1">
      <alignment/>
    </xf>
    <xf numFmtId="40" fontId="6" fillId="0" borderId="0" xfId="0" applyNumberFormat="1" applyFont="1" applyBorder="1" applyAlignment="1">
      <alignment wrapText="1"/>
    </xf>
    <xf numFmtId="8" fontId="6" fillId="0" borderId="0" xfId="0" applyNumberFormat="1" applyFont="1" applyBorder="1" applyAlignment="1">
      <alignment wrapText="1"/>
    </xf>
    <xf numFmtId="168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8" fontId="0" fillId="0" borderId="0" xfId="0" applyNumberFormat="1" applyFont="1" applyBorder="1" applyAlignment="1">
      <alignment/>
    </xf>
    <xf numFmtId="8" fontId="0" fillId="0" borderId="0" xfId="26" applyNumberFormat="1" applyFont="1" applyBorder="1">
      <alignment/>
      <protection/>
    </xf>
    <xf numFmtId="0" fontId="0" fillId="0" borderId="0" xfId="0" applyNumberFormat="1" applyFont="1" applyFill="1" applyBorder="1" applyAlignment="1" quotePrefix="1">
      <alignment/>
    </xf>
    <xf numFmtId="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13" fillId="0" borderId="0" xfId="24" applyNumberFormat="1" applyFont="1" applyBorder="1" quotePrefix="1">
      <alignment/>
      <protection/>
    </xf>
    <xf numFmtId="172" fontId="15" fillId="0" borderId="0" xfId="23" applyNumberFormat="1">
      <alignment/>
      <protection/>
    </xf>
    <xf numFmtId="10" fontId="6" fillId="0" borderId="0" xfId="28" applyNumberFormat="1" applyFont="1" applyAlignment="1">
      <alignment/>
    </xf>
    <xf numFmtId="8" fontId="6" fillId="0" borderId="0" xfId="0" applyNumberFormat="1" applyFont="1" applyFill="1" applyAlignment="1">
      <alignment/>
    </xf>
    <xf numFmtId="8" fontId="6" fillId="0" borderId="0" xfId="0" applyNumberFormat="1" applyFont="1" applyAlignment="1">
      <alignment horizontal="right"/>
    </xf>
    <xf numFmtId="40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/>
    </xf>
    <xf numFmtId="0" fontId="6" fillId="0" borderId="0" xfId="26" applyNumberFormat="1" applyFont="1">
      <alignment/>
      <protection/>
    </xf>
    <xf numFmtId="8" fontId="6" fillId="0" borderId="0" xfId="26" applyNumberFormat="1" applyFont="1" applyBorder="1">
      <alignment/>
      <protection/>
    </xf>
    <xf numFmtId="0" fontId="6" fillId="0" borderId="0" xfId="26" applyFont="1" applyFill="1" applyBorder="1" applyAlignment="1" applyProtection="1">
      <alignment horizontal="left"/>
      <protection/>
    </xf>
    <xf numFmtId="0" fontId="19" fillId="0" borderId="0" xfId="27" applyFont="1">
      <alignment vertical="top"/>
      <protection/>
    </xf>
    <xf numFmtId="0" fontId="3" fillId="0" borderId="0" xfId="27">
      <alignment vertical="top"/>
      <protection/>
    </xf>
    <xf numFmtId="8" fontId="3" fillId="0" borderId="0" xfId="27" applyNumberFormat="1">
      <alignment vertical="top"/>
      <protection/>
    </xf>
    <xf numFmtId="6" fontId="3" fillId="0" borderId="0" xfId="27" applyNumberFormat="1">
      <alignment vertical="top"/>
      <protection/>
    </xf>
    <xf numFmtId="176" fontId="3" fillId="0" borderId="0" xfId="27" applyNumberFormat="1">
      <alignment vertical="top"/>
      <protection/>
    </xf>
    <xf numFmtId="10" fontId="3" fillId="0" borderId="0" xfId="27" applyNumberFormat="1">
      <alignment vertical="top"/>
      <protection/>
    </xf>
    <xf numFmtId="0" fontId="6" fillId="0" borderId="0" xfId="23" applyFont="1" applyAlignment="1">
      <alignment horizontal="left"/>
      <protection/>
    </xf>
    <xf numFmtId="0" fontId="6" fillId="0" borderId="0" xfId="23" applyFont="1" applyAlignment="1">
      <alignment horizontal="center"/>
      <protection/>
    </xf>
    <xf numFmtId="7" fontId="15" fillId="0" borderId="0" xfId="23" applyNumberFormat="1" applyFont="1" applyAlignment="1">
      <alignment horizontal="left"/>
      <protection/>
    </xf>
    <xf numFmtId="0" fontId="15" fillId="0" borderId="0" xfId="23" applyFont="1" applyAlignment="1">
      <alignment horizontal="left"/>
      <protection/>
    </xf>
    <xf numFmtId="0" fontId="17" fillId="0" borderId="0" xfId="23" applyFont="1" applyAlignment="1">
      <alignment horizontal="left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g 07 Detailed Report" xfId="21"/>
    <cellStyle name="Normal_Book1" xfId="22"/>
    <cellStyle name="Normal_DBUD04 -1-21 Updated to Adopted" xfId="23"/>
    <cellStyle name="Normal_FY08 Totals for DBud" xfId="24"/>
    <cellStyle name="Normal_FY08 Totals for DBud (2)" xfId="25"/>
    <cellStyle name="Normal_FY08 Totals for DBud_1" xfId="26"/>
    <cellStyle name="Normal_FY09 Distribution Service Rates for Depts 02140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"/>
  <sheetViews>
    <sheetView workbookViewId="0" topLeftCell="A1">
      <pane xSplit="1" ySplit="5" topLeftCell="H6" activePane="bottomRight" state="frozen"/>
      <selection pane="topLeft" activeCell="U1379" sqref="A3:U1379"/>
      <selection pane="topRight" activeCell="U1379" sqref="A3:U1379"/>
      <selection pane="bottomLeft" activeCell="U1379" sqref="A3:U1379"/>
      <selection pane="bottomRight" activeCell="A15" sqref="A15"/>
    </sheetView>
  </sheetViews>
  <sheetFormatPr defaultColWidth="8.88671875" defaultRowHeight="15"/>
  <cols>
    <col min="1" max="1" width="13.99609375" style="0" bestFit="1" customWidth="1"/>
    <col min="2" max="2" width="5.21484375" style="0" bestFit="1" customWidth="1"/>
    <col min="3" max="4" width="12.3359375" style="0" bestFit="1" customWidth="1"/>
    <col min="5" max="5" width="11.4453125" style="0" bestFit="1" customWidth="1"/>
    <col min="6" max="6" width="10.5546875" style="0" bestFit="1" customWidth="1"/>
    <col min="7" max="7" width="12.5546875" style="0" bestFit="1" customWidth="1"/>
    <col min="8" max="8" width="12.4453125" style="0" customWidth="1"/>
    <col min="9" max="9" width="11.5546875" style="0" bestFit="1" customWidth="1"/>
    <col min="10" max="10" width="11.4453125" style="0" bestFit="1" customWidth="1"/>
    <col min="11" max="11" width="13.3359375" style="0" bestFit="1" customWidth="1"/>
    <col min="12" max="12" width="12.21484375" style="0" bestFit="1" customWidth="1"/>
    <col min="13" max="14" width="12.88671875" style="0" bestFit="1" customWidth="1"/>
  </cols>
  <sheetData>
    <row r="1" spans="1:12" ht="15.75">
      <c r="A1" s="180" t="s">
        <v>688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5" ht="15.75">
      <c r="A2" s="179"/>
      <c r="B2" s="179"/>
      <c r="C2" s="179"/>
      <c r="D2" s="179"/>
      <c r="E2" s="179"/>
    </row>
    <row r="3" spans="1:12" s="6" customFormat="1" ht="15.75">
      <c r="A3" s="11"/>
      <c r="B3" s="11"/>
      <c r="C3" s="164" t="s">
        <v>756</v>
      </c>
      <c r="D3" s="164" t="s">
        <v>631</v>
      </c>
      <c r="E3" s="3">
        <v>0.06</v>
      </c>
      <c r="F3" s="164" t="s">
        <v>56</v>
      </c>
      <c r="G3" s="165" t="s">
        <v>588</v>
      </c>
      <c r="H3" s="166" t="s">
        <v>588</v>
      </c>
      <c r="I3" s="12"/>
      <c r="J3" s="10"/>
      <c r="K3" s="10"/>
      <c r="L3" s="10"/>
    </row>
    <row r="4" spans="1:12" s="6" customFormat="1" ht="15.75">
      <c r="A4" s="11"/>
      <c r="B4" s="11"/>
      <c r="C4" s="162">
        <v>0.0486</v>
      </c>
      <c r="D4" s="164" t="s">
        <v>632</v>
      </c>
      <c r="E4" s="3">
        <v>0.01</v>
      </c>
      <c r="F4" s="3">
        <v>15</v>
      </c>
      <c r="G4" s="3">
        <v>3135</v>
      </c>
      <c r="H4" s="3">
        <v>72</v>
      </c>
      <c r="I4" s="12"/>
      <c r="J4" s="164" t="s">
        <v>588</v>
      </c>
      <c r="K4" s="3">
        <v>0.01</v>
      </c>
      <c r="L4" s="10"/>
    </row>
    <row r="5" spans="1:13" s="5" customFormat="1" ht="48" thickBot="1">
      <c r="A5" s="53" t="s">
        <v>48</v>
      </c>
      <c r="B5" s="53"/>
      <c r="C5" s="54" t="s">
        <v>53</v>
      </c>
      <c r="D5" s="55" t="s">
        <v>54</v>
      </c>
      <c r="E5" s="54" t="s">
        <v>55</v>
      </c>
      <c r="F5" s="54" t="s">
        <v>56</v>
      </c>
      <c r="G5" s="56" t="s">
        <v>587</v>
      </c>
      <c r="H5" s="56" t="s">
        <v>590</v>
      </c>
      <c r="I5" s="57" t="s">
        <v>628</v>
      </c>
      <c r="J5" s="56" t="s">
        <v>629</v>
      </c>
      <c r="K5" s="56" t="s">
        <v>630</v>
      </c>
      <c r="L5" s="54" t="s">
        <v>683</v>
      </c>
      <c r="M5" s="60" t="s">
        <v>689</v>
      </c>
    </row>
    <row r="6" spans="1:13" ht="15.75">
      <c r="A6" s="5" t="s">
        <v>238</v>
      </c>
      <c r="B6" s="6" t="s">
        <v>747</v>
      </c>
      <c r="C6" s="58">
        <v>67627.42900759995</v>
      </c>
      <c r="D6" s="59">
        <v>139322</v>
      </c>
      <c r="E6" s="58">
        <v>12505.08</v>
      </c>
      <c r="F6" s="58">
        <v>540</v>
      </c>
      <c r="G6" s="58">
        <v>60740.625</v>
      </c>
      <c r="H6" s="58">
        <v>5292</v>
      </c>
      <c r="I6" s="59">
        <v>0</v>
      </c>
      <c r="J6" s="58">
        <v>633.74</v>
      </c>
      <c r="K6" s="58">
        <v>0</v>
      </c>
      <c r="L6" s="58">
        <v>12.85</v>
      </c>
      <c r="M6" s="3">
        <f>SUM(C6,E6,F6,G6,H6,J6,K6,L6)</f>
        <v>147351.72400759996</v>
      </c>
    </row>
    <row r="7" spans="1:13" ht="15.75">
      <c r="A7" s="5" t="s">
        <v>78</v>
      </c>
      <c r="B7" s="6" t="s">
        <v>747</v>
      </c>
      <c r="C7" s="58">
        <v>92746.32428180001</v>
      </c>
      <c r="D7" s="59">
        <v>158434</v>
      </c>
      <c r="E7" s="58">
        <v>13361.4</v>
      </c>
      <c r="F7" s="58">
        <v>4290</v>
      </c>
      <c r="G7" s="58">
        <v>34742.07</v>
      </c>
      <c r="H7" s="58">
        <v>4464</v>
      </c>
      <c r="I7" s="59">
        <v>0</v>
      </c>
      <c r="J7" s="58">
        <v>372.88</v>
      </c>
      <c r="K7" s="58">
        <v>0</v>
      </c>
      <c r="L7" s="58">
        <v>217.58</v>
      </c>
      <c r="M7" s="3">
        <f aca="true" t="shared" si="0" ref="M7:M15">SUM(C7,E7,F7,G7,H7,J7,K7,L7)</f>
        <v>150194.2542818</v>
      </c>
    </row>
    <row r="8" spans="1:13" ht="15.75">
      <c r="A8" s="5" t="s">
        <v>147</v>
      </c>
      <c r="B8" s="6" t="s">
        <v>747</v>
      </c>
      <c r="C8" s="58">
        <v>40423.21332279997</v>
      </c>
      <c r="D8" s="59">
        <v>102706</v>
      </c>
      <c r="E8" s="58">
        <v>9410.120000000006</v>
      </c>
      <c r="F8" s="58">
        <v>3450</v>
      </c>
      <c r="G8" s="58">
        <v>69452.163</v>
      </c>
      <c r="H8" s="58">
        <v>3834</v>
      </c>
      <c r="I8" s="59">
        <v>88468</v>
      </c>
      <c r="J8" s="58">
        <v>8591.12</v>
      </c>
      <c r="K8" s="58">
        <v>884.68</v>
      </c>
      <c r="L8" s="58">
        <v>98.62</v>
      </c>
      <c r="M8" s="3">
        <f t="shared" si="0"/>
        <v>136143.91632279998</v>
      </c>
    </row>
    <row r="9" spans="1:13" ht="15.75">
      <c r="A9" s="5" t="s">
        <v>58</v>
      </c>
      <c r="B9" s="6" t="s">
        <v>747</v>
      </c>
      <c r="C9" s="58">
        <v>194261.9980867998</v>
      </c>
      <c r="D9" s="59">
        <v>279792</v>
      </c>
      <c r="E9" s="58">
        <v>24772.6</v>
      </c>
      <c r="F9" s="58">
        <v>4335</v>
      </c>
      <c r="G9" s="58">
        <v>69338.049</v>
      </c>
      <c r="H9" s="58">
        <v>16758</v>
      </c>
      <c r="I9" s="59">
        <v>543544</v>
      </c>
      <c r="J9" s="58">
        <v>150353.15</v>
      </c>
      <c r="K9" s="58">
        <v>5435.44</v>
      </c>
      <c r="L9" s="58">
        <v>1588.4</v>
      </c>
      <c r="M9" s="3">
        <f t="shared" si="0"/>
        <v>466842.6370867999</v>
      </c>
    </row>
    <row r="10" spans="1:13" ht="15.75">
      <c r="A10" s="5" t="s">
        <v>3</v>
      </c>
      <c r="B10" s="6" t="s">
        <v>747</v>
      </c>
      <c r="C10" s="58">
        <v>36909.3798892</v>
      </c>
      <c r="D10" s="59">
        <v>72980</v>
      </c>
      <c r="E10" s="58">
        <v>6007.16</v>
      </c>
      <c r="F10" s="58">
        <v>1740</v>
      </c>
      <c r="G10" s="58">
        <v>21945</v>
      </c>
      <c r="H10" s="58">
        <v>522</v>
      </c>
      <c r="I10" s="59">
        <v>0</v>
      </c>
      <c r="J10" s="58">
        <v>19388.96</v>
      </c>
      <c r="K10" s="58">
        <v>0</v>
      </c>
      <c r="L10" s="58">
        <v>109.26</v>
      </c>
      <c r="M10" s="3">
        <f t="shared" si="0"/>
        <v>86621.7598892</v>
      </c>
    </row>
    <row r="11" spans="1:13" ht="15.75">
      <c r="A11" s="5" t="s">
        <v>716</v>
      </c>
      <c r="B11" s="6" t="s">
        <v>747</v>
      </c>
      <c r="C11" s="58">
        <v>278.74514359999995</v>
      </c>
      <c r="D11" s="59">
        <v>112</v>
      </c>
      <c r="E11" s="58">
        <v>6.84</v>
      </c>
      <c r="F11" s="58">
        <v>135</v>
      </c>
      <c r="G11" s="58">
        <v>6270</v>
      </c>
      <c r="H11" s="58">
        <v>1530</v>
      </c>
      <c r="I11" s="59">
        <v>0</v>
      </c>
      <c r="J11" s="58">
        <v>0</v>
      </c>
      <c r="K11" s="58">
        <v>0</v>
      </c>
      <c r="L11" s="58">
        <v>0</v>
      </c>
      <c r="M11" s="3">
        <f t="shared" si="0"/>
        <v>8220.585143600001</v>
      </c>
    </row>
    <row r="12" spans="1:13" ht="15.75">
      <c r="A12" s="5" t="s">
        <v>68</v>
      </c>
      <c r="B12" s="6" t="s">
        <v>747</v>
      </c>
      <c r="C12" s="58">
        <v>93535.8204648</v>
      </c>
      <c r="D12" s="59">
        <v>198496</v>
      </c>
      <c r="E12" s="58">
        <v>16078.4</v>
      </c>
      <c r="F12" s="58">
        <v>12240</v>
      </c>
      <c r="G12" s="58">
        <v>229544.7</v>
      </c>
      <c r="H12" s="58">
        <v>8307</v>
      </c>
      <c r="I12" s="59">
        <v>12358</v>
      </c>
      <c r="J12" s="58">
        <v>12847.85</v>
      </c>
      <c r="K12" s="58">
        <v>123.58</v>
      </c>
      <c r="L12" s="58">
        <v>589.8</v>
      </c>
      <c r="M12" s="3">
        <f t="shared" si="0"/>
        <v>373267.15046479995</v>
      </c>
    </row>
    <row r="13" spans="1:13" ht="15.75">
      <c r="A13" s="5" t="s">
        <v>271</v>
      </c>
      <c r="B13" s="6" t="s">
        <v>747</v>
      </c>
      <c r="C13" s="58">
        <v>29374.316454</v>
      </c>
      <c r="D13" s="59">
        <v>65623</v>
      </c>
      <c r="E13" s="58">
        <v>6087.34</v>
      </c>
      <c r="F13" s="58">
        <v>1665</v>
      </c>
      <c r="G13" s="58">
        <v>47293.983</v>
      </c>
      <c r="H13" s="58">
        <v>1278</v>
      </c>
      <c r="I13" s="59">
        <v>0</v>
      </c>
      <c r="J13" s="58">
        <v>0</v>
      </c>
      <c r="K13" s="58">
        <v>0</v>
      </c>
      <c r="L13" s="58">
        <v>75.54</v>
      </c>
      <c r="M13" s="3">
        <f t="shared" si="0"/>
        <v>85774.17945399998</v>
      </c>
    </row>
    <row r="14" spans="1:14" ht="15.75">
      <c r="A14" s="5" t="s">
        <v>118</v>
      </c>
      <c r="B14" s="6" t="s">
        <v>747</v>
      </c>
      <c r="C14" s="58">
        <v>7532.660044</v>
      </c>
      <c r="D14" s="59">
        <v>11902</v>
      </c>
      <c r="E14" s="58">
        <v>997.8399999999995</v>
      </c>
      <c r="F14" s="58">
        <v>1770</v>
      </c>
      <c r="G14" s="58">
        <v>8922.21</v>
      </c>
      <c r="H14" s="58">
        <v>558</v>
      </c>
      <c r="I14" s="59">
        <v>0</v>
      </c>
      <c r="J14" s="58">
        <v>0</v>
      </c>
      <c r="K14" s="58">
        <v>0</v>
      </c>
      <c r="L14" s="58">
        <v>73.77</v>
      </c>
      <c r="M14" s="3">
        <f t="shared" si="0"/>
        <v>19854.480044</v>
      </c>
      <c r="N14" s="58">
        <f>SUM(M6:M14)</f>
        <v>1474270.6866946</v>
      </c>
    </row>
    <row r="15" spans="1:14" ht="16.5" thickBot="1">
      <c r="A15" s="60" t="s">
        <v>428</v>
      </c>
      <c r="B15" s="133" t="s">
        <v>747</v>
      </c>
      <c r="C15" s="62">
        <v>53258.776739</v>
      </c>
      <c r="D15" s="63">
        <v>81365</v>
      </c>
      <c r="E15" s="62">
        <v>7141.26</v>
      </c>
      <c r="F15" s="62">
        <v>180</v>
      </c>
      <c r="G15" s="62">
        <v>3135</v>
      </c>
      <c r="H15" s="62">
        <v>0</v>
      </c>
      <c r="I15" s="63">
        <v>0</v>
      </c>
      <c r="J15" s="62">
        <v>0</v>
      </c>
      <c r="K15" s="62">
        <v>0</v>
      </c>
      <c r="L15" s="62">
        <v>62.19</v>
      </c>
      <c r="M15" s="54">
        <f t="shared" si="0"/>
        <v>63777.226739000005</v>
      </c>
      <c r="N15" t="s">
        <v>755</v>
      </c>
    </row>
    <row r="16" spans="1:13" ht="15.75">
      <c r="A16" s="5" t="s">
        <v>689</v>
      </c>
      <c r="B16" s="5"/>
      <c r="C16" s="163">
        <f aca="true" t="shared" si="1" ref="C16:M16">SUM(C6:C15)</f>
        <v>615948.6634335998</v>
      </c>
      <c r="D16" s="4">
        <f t="shared" si="1"/>
        <v>1110732</v>
      </c>
      <c r="E16" s="3">
        <f t="shared" si="1"/>
        <v>96368.03999999998</v>
      </c>
      <c r="F16" s="3">
        <f t="shared" si="1"/>
        <v>30345</v>
      </c>
      <c r="G16" s="3">
        <f t="shared" si="1"/>
        <v>551383.7999999999</v>
      </c>
      <c r="H16" s="3">
        <f t="shared" si="1"/>
        <v>42543</v>
      </c>
      <c r="I16" s="4">
        <f t="shared" si="1"/>
        <v>644370</v>
      </c>
      <c r="J16" s="3">
        <f t="shared" si="1"/>
        <v>192187.69999999998</v>
      </c>
      <c r="K16" s="3">
        <f t="shared" si="1"/>
        <v>6443.7</v>
      </c>
      <c r="L16" s="3">
        <f t="shared" si="1"/>
        <v>2828.01</v>
      </c>
      <c r="M16" s="3">
        <f t="shared" si="1"/>
        <v>1538047.9134336</v>
      </c>
    </row>
    <row r="17" spans="3:7" ht="15">
      <c r="C17" s="58"/>
      <c r="D17" s="58"/>
      <c r="E17" s="58"/>
      <c r="F17" s="58"/>
      <c r="G17">
        <f>G16/G4</f>
        <v>175.87999999999997</v>
      </c>
    </row>
    <row r="18" ht="15">
      <c r="G18" t="s">
        <v>690</v>
      </c>
    </row>
    <row r="19" spans="1:13" ht="15.75">
      <c r="A19" s="5" t="s">
        <v>691</v>
      </c>
      <c r="B19" s="5"/>
      <c r="C19" s="58">
        <v>139.22681640000002</v>
      </c>
      <c r="D19" s="59">
        <v>177</v>
      </c>
      <c r="E19" s="58">
        <v>14.98</v>
      </c>
      <c r="F19" s="58">
        <v>180</v>
      </c>
      <c r="G19" s="58">
        <v>0</v>
      </c>
      <c r="H19" s="58">
        <v>2808</v>
      </c>
      <c r="I19" s="59">
        <v>0</v>
      </c>
      <c r="J19" s="58">
        <v>0</v>
      </c>
      <c r="K19" s="58">
        <v>0</v>
      </c>
      <c r="L19" s="58">
        <v>0</v>
      </c>
      <c r="M19" s="3">
        <f>SUM(C19,E19,F19,G19,H19,J19,K19,L19)</f>
        <v>3142.2068164</v>
      </c>
    </row>
    <row r="20" spans="1:13" ht="16.5" thickBot="1">
      <c r="A20" s="5" t="s">
        <v>692</v>
      </c>
      <c r="B20" s="5"/>
      <c r="C20" s="62">
        <v>16.7104896</v>
      </c>
      <c r="D20" s="63">
        <v>11</v>
      </c>
      <c r="E20" s="62">
        <v>0.98</v>
      </c>
      <c r="F20" s="62">
        <v>90</v>
      </c>
      <c r="G20" s="62">
        <v>7022.4</v>
      </c>
      <c r="H20" s="62">
        <v>5868</v>
      </c>
      <c r="I20" s="63">
        <v>0</v>
      </c>
      <c r="J20" s="62">
        <v>0</v>
      </c>
      <c r="K20" s="62">
        <v>0</v>
      </c>
      <c r="L20" s="62">
        <v>0</v>
      </c>
      <c r="M20" s="54">
        <f>SUM(C20,E20,F20,G20,H20,J20,K20,L20)</f>
        <v>12998.0904896</v>
      </c>
    </row>
    <row r="21" spans="1:13" ht="15.75">
      <c r="A21" s="5" t="s">
        <v>693</v>
      </c>
      <c r="B21" s="5"/>
      <c r="C21" s="3">
        <f aca="true" t="shared" si="2" ref="C21:M21">SUM(C19:C20)</f>
        <v>155.937306</v>
      </c>
      <c r="D21" s="4">
        <f t="shared" si="2"/>
        <v>188</v>
      </c>
      <c r="E21" s="3">
        <f t="shared" si="2"/>
        <v>15.96</v>
      </c>
      <c r="F21" s="3">
        <f t="shared" si="2"/>
        <v>270</v>
      </c>
      <c r="G21" s="3">
        <f t="shared" si="2"/>
        <v>7022.4</v>
      </c>
      <c r="H21" s="3">
        <f t="shared" si="2"/>
        <v>8676</v>
      </c>
      <c r="I21" s="4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16140.297306</v>
      </c>
    </row>
    <row r="22" ht="15.75" thickBot="1"/>
    <row r="23" spans="1:13" ht="16.5" thickBot="1">
      <c r="A23" s="68" t="s">
        <v>694</v>
      </c>
      <c r="B23" s="68"/>
      <c r="C23" s="66">
        <f aca="true" t="shared" si="3" ref="C23:M23">C16+C21</f>
        <v>616104.6007395998</v>
      </c>
      <c r="D23" s="67">
        <f t="shared" si="3"/>
        <v>1110920</v>
      </c>
      <c r="E23" s="66">
        <f t="shared" si="3"/>
        <v>96383.99999999999</v>
      </c>
      <c r="F23" s="66">
        <f t="shared" si="3"/>
        <v>30615</v>
      </c>
      <c r="G23" s="66">
        <f t="shared" si="3"/>
        <v>558406.2</v>
      </c>
      <c r="H23" s="66">
        <f t="shared" si="3"/>
        <v>51219</v>
      </c>
      <c r="I23" s="67">
        <f t="shared" si="3"/>
        <v>644370</v>
      </c>
      <c r="J23" s="66">
        <f t="shared" si="3"/>
        <v>192187.69999999998</v>
      </c>
      <c r="K23" s="66">
        <f t="shared" si="3"/>
        <v>6443.7</v>
      </c>
      <c r="L23" s="66">
        <f t="shared" si="3"/>
        <v>2828.01</v>
      </c>
      <c r="M23" s="69">
        <f t="shared" si="3"/>
        <v>1554188.2107396</v>
      </c>
    </row>
    <row r="24" ht="15">
      <c r="G24">
        <f>G23/G4</f>
        <v>178.11999999999998</v>
      </c>
    </row>
    <row r="25" ht="15">
      <c r="G25" t="s">
        <v>690</v>
      </c>
    </row>
    <row r="29" ht="15.75" thickBot="1"/>
    <row r="30" spans="1:13" s="74" customFormat="1" ht="12.75">
      <c r="A30" s="70"/>
      <c r="B30" s="71"/>
      <c r="C30" s="72" t="s">
        <v>695</v>
      </c>
      <c r="D30" s="72" t="s">
        <v>53</v>
      </c>
      <c r="E30" s="72" t="s">
        <v>696</v>
      </c>
      <c r="F30" s="72" t="s">
        <v>697</v>
      </c>
      <c r="G30" s="72" t="s">
        <v>56</v>
      </c>
      <c r="H30" s="72" t="s">
        <v>592</v>
      </c>
      <c r="I30" s="72" t="s">
        <v>689</v>
      </c>
      <c r="J30" s="73" t="s">
        <v>698</v>
      </c>
      <c r="K30" s="73" t="s">
        <v>689</v>
      </c>
      <c r="L30" s="72" t="s">
        <v>699</v>
      </c>
      <c r="M30" s="72" t="s">
        <v>700</v>
      </c>
    </row>
    <row r="31" spans="1:13" s="74" customFormat="1" ht="12.75" thickBot="1">
      <c r="A31" s="75" t="s">
        <v>701</v>
      </c>
      <c r="B31" s="75"/>
      <c r="C31" s="76" t="s">
        <v>702</v>
      </c>
      <c r="D31" s="76" t="s">
        <v>703</v>
      </c>
      <c r="E31" s="76" t="s">
        <v>703</v>
      </c>
      <c r="F31" s="76" t="s">
        <v>703</v>
      </c>
      <c r="G31" s="76" t="s">
        <v>704</v>
      </c>
      <c r="H31" s="76" t="s">
        <v>704</v>
      </c>
      <c r="I31" s="77" t="s">
        <v>703</v>
      </c>
      <c r="J31" s="78" t="s">
        <v>705</v>
      </c>
      <c r="K31" s="78" t="s">
        <v>706</v>
      </c>
      <c r="L31" s="77" t="s">
        <v>707</v>
      </c>
      <c r="M31" s="77" t="s">
        <v>708</v>
      </c>
    </row>
    <row r="32" spans="1:13" s="74" customFormat="1" ht="12.75">
      <c r="A32" s="82" t="s">
        <v>78</v>
      </c>
      <c r="B32" s="83" t="s">
        <v>710</v>
      </c>
      <c r="C32" s="80">
        <v>224025</v>
      </c>
      <c r="D32" s="81">
        <v>110909.39699999997</v>
      </c>
      <c r="E32" s="81">
        <v>13249.81</v>
      </c>
      <c r="F32" s="81">
        <v>5533</v>
      </c>
      <c r="G32" s="81">
        <v>4500</v>
      </c>
      <c r="H32" s="81">
        <v>43052.8</v>
      </c>
      <c r="I32" s="81">
        <v>177245.00699999998</v>
      </c>
      <c r="J32" s="81">
        <v>6696.31636446</v>
      </c>
      <c r="K32" s="81">
        <v>183941.32336446</v>
      </c>
      <c r="L32" s="81">
        <v>-26260.323364459997</v>
      </c>
      <c r="M32" s="81">
        <v>157681</v>
      </c>
    </row>
    <row r="33" spans="1:13" s="74" customFormat="1" ht="12.75">
      <c r="A33" s="82" t="s">
        <v>709</v>
      </c>
      <c r="B33" s="83" t="s">
        <v>710</v>
      </c>
      <c r="C33" s="80">
        <v>8084</v>
      </c>
      <c r="D33" s="81">
        <v>4745.833</v>
      </c>
      <c r="E33" s="81">
        <v>553.08</v>
      </c>
      <c r="F33" s="81">
        <v>137.5</v>
      </c>
      <c r="G33" s="81">
        <v>360</v>
      </c>
      <c r="H33" s="81">
        <v>2170</v>
      </c>
      <c r="I33" s="81">
        <v>7966.413</v>
      </c>
      <c r="J33" s="81">
        <v>300.97108314</v>
      </c>
      <c r="K33" s="81">
        <v>8267.38408314</v>
      </c>
      <c r="L33" s="81">
        <v>17.615916860000652</v>
      </c>
      <c r="M33" s="81">
        <v>8285</v>
      </c>
    </row>
    <row r="34" spans="1:13" s="74" customFormat="1" ht="12.75">
      <c r="A34" s="82" t="s">
        <v>78</v>
      </c>
      <c r="B34" s="83" t="s">
        <v>711</v>
      </c>
      <c r="C34" s="80">
        <v>186446</v>
      </c>
      <c r="D34" s="81">
        <v>89996.65896000002</v>
      </c>
      <c r="E34" s="81">
        <v>12282.47</v>
      </c>
      <c r="F34" s="81">
        <v>4019.212</v>
      </c>
      <c r="G34" s="81">
        <v>4200</v>
      </c>
      <c r="H34" s="81">
        <v>41104</v>
      </c>
      <c r="I34" s="81">
        <v>151602.34096</v>
      </c>
      <c r="J34" s="81">
        <v>7317.8449981392005</v>
      </c>
      <c r="K34" s="81">
        <v>158920.1859581392</v>
      </c>
      <c r="L34" s="81">
        <v>1218</v>
      </c>
      <c r="M34" s="81">
        <v>160138.1859581392</v>
      </c>
    </row>
    <row r="35" spans="1:13" s="74" customFormat="1" ht="12.75">
      <c r="A35" s="82" t="s">
        <v>709</v>
      </c>
      <c r="B35" s="83" t="s">
        <v>711</v>
      </c>
      <c r="C35" s="80">
        <v>8154</v>
      </c>
      <c r="D35" s="81">
        <v>4698.6128800000015</v>
      </c>
      <c r="E35" s="81">
        <v>658.64</v>
      </c>
      <c r="F35" s="81">
        <v>31</v>
      </c>
      <c r="G35" s="81">
        <v>360</v>
      </c>
      <c r="H35" s="81">
        <v>2800</v>
      </c>
      <c r="I35" s="81">
        <v>8548.252880000002</v>
      </c>
      <c r="J35" s="81">
        <v>412.6241665176001</v>
      </c>
      <c r="K35" s="81">
        <v>8960.877046517602</v>
      </c>
      <c r="L35" s="81">
        <v>-1484</v>
      </c>
      <c r="M35" s="81">
        <v>7476.877046517602</v>
      </c>
    </row>
    <row r="36" spans="1:13" s="74" customFormat="1" ht="12.75">
      <c r="A36" s="82" t="s">
        <v>78</v>
      </c>
      <c r="B36" s="83" t="s">
        <v>712</v>
      </c>
      <c r="C36" s="80">
        <v>264131</v>
      </c>
      <c r="D36" s="81">
        <v>106234.76</v>
      </c>
      <c r="E36" s="81">
        <v>14048.09</v>
      </c>
      <c r="F36" s="81">
        <v>2425.5</v>
      </c>
      <c r="G36" s="81">
        <v>3780</v>
      </c>
      <c r="H36" s="81">
        <v>28896</v>
      </c>
      <c r="I36" s="81">
        <v>155384.35</v>
      </c>
      <c r="J36" s="81">
        <v>3527.2247449999995</v>
      </c>
      <c r="K36" s="81">
        <v>158911.574745</v>
      </c>
      <c r="L36" s="81">
        <v>4826</v>
      </c>
      <c r="M36" s="81">
        <v>163737.574745</v>
      </c>
    </row>
    <row r="37" spans="1:13" s="74" customFormat="1" ht="12.75">
      <c r="A37" s="82" t="s">
        <v>709</v>
      </c>
      <c r="B37" s="83" t="s">
        <v>712</v>
      </c>
      <c r="C37" s="80">
        <v>11533</v>
      </c>
      <c r="D37" s="81">
        <v>5611.44</v>
      </c>
      <c r="E37" s="81">
        <v>931.43</v>
      </c>
      <c r="F37" s="81">
        <v>189</v>
      </c>
      <c r="G37" s="81">
        <v>360</v>
      </c>
      <c r="H37" s="81">
        <v>2550</v>
      </c>
      <c r="I37" s="81">
        <v>9641.87</v>
      </c>
      <c r="J37" s="81">
        <v>218.87044899999998</v>
      </c>
      <c r="K37" s="81">
        <v>9860.740448999999</v>
      </c>
      <c r="L37" s="81">
        <v>221</v>
      </c>
      <c r="M37" s="81">
        <v>10081.740448999999</v>
      </c>
    </row>
    <row r="38" spans="1:13" s="74" customFormat="1" ht="12.75">
      <c r="A38" s="82" t="s">
        <v>78</v>
      </c>
      <c r="B38" s="83" t="s">
        <v>713</v>
      </c>
      <c r="C38" s="80">
        <v>216447</v>
      </c>
      <c r="D38" s="81">
        <v>85702.66</v>
      </c>
      <c r="E38" s="81">
        <v>13724.11</v>
      </c>
      <c r="F38" s="81">
        <v>1636.9539</v>
      </c>
      <c r="G38" s="81">
        <v>3750</v>
      </c>
      <c r="H38" s="81">
        <v>30196.32</v>
      </c>
      <c r="I38" s="81">
        <v>135010.04389999996</v>
      </c>
      <c r="J38" s="81">
        <v>0</v>
      </c>
      <c r="K38" s="81">
        <v>135010.04389999996</v>
      </c>
      <c r="L38" s="81">
        <v>33963</v>
      </c>
      <c r="M38" s="81">
        <v>168973.04389999996</v>
      </c>
    </row>
    <row r="39" spans="1:13" s="74" customFormat="1" ht="12.75">
      <c r="A39" s="82" t="s">
        <v>709</v>
      </c>
      <c r="B39" s="83" t="s">
        <v>713</v>
      </c>
      <c r="C39" s="80">
        <v>7421</v>
      </c>
      <c r="D39" s="81">
        <v>3710.33</v>
      </c>
      <c r="E39" s="81">
        <v>571.96</v>
      </c>
      <c r="F39" s="81">
        <v>141.75</v>
      </c>
      <c r="G39" s="81">
        <v>360</v>
      </c>
      <c r="H39" s="81">
        <v>2664.75</v>
      </c>
      <c r="I39" s="81">
        <v>7448.79</v>
      </c>
      <c r="J39" s="81">
        <v>0</v>
      </c>
      <c r="K39" s="81">
        <v>7448.79</v>
      </c>
      <c r="L39" s="81">
        <v>0</v>
      </c>
      <c r="M39" s="81">
        <v>7448.79</v>
      </c>
    </row>
    <row r="40" spans="1:13" s="74" customFormat="1" ht="12.75">
      <c r="A40" s="82" t="s">
        <v>78</v>
      </c>
      <c r="B40" s="83" t="s">
        <v>714</v>
      </c>
      <c r="C40" s="80">
        <v>153671</v>
      </c>
      <c r="D40" s="81">
        <v>85581.92900000002</v>
      </c>
      <c r="E40" s="81">
        <v>12420.92</v>
      </c>
      <c r="F40" s="81">
        <v>2887.5716129032257</v>
      </c>
      <c r="G40" s="81">
        <v>3585</v>
      </c>
      <c r="H40" s="81">
        <v>30729.27</v>
      </c>
      <c r="I40" s="81">
        <v>135204.69061290324</v>
      </c>
      <c r="J40" s="81">
        <v>0</v>
      </c>
      <c r="K40" s="81">
        <v>135204.69061290324</v>
      </c>
      <c r="L40" s="81">
        <v>0</v>
      </c>
      <c r="M40" s="81">
        <v>135204.69061290324</v>
      </c>
    </row>
    <row r="41" spans="1:14" s="74" customFormat="1" ht="12.75">
      <c r="A41" s="82" t="s">
        <v>709</v>
      </c>
      <c r="B41" s="83" t="s">
        <v>714</v>
      </c>
      <c r="C41" s="80">
        <v>6640</v>
      </c>
      <c r="D41" s="81">
        <v>3282.09</v>
      </c>
      <c r="E41" s="81">
        <v>519.58</v>
      </c>
      <c r="F41" s="81">
        <v>207</v>
      </c>
      <c r="G41" s="81">
        <v>360</v>
      </c>
      <c r="H41" s="81">
        <v>2664.75</v>
      </c>
      <c r="I41" s="81">
        <v>7033.42</v>
      </c>
      <c r="J41" s="81">
        <v>0</v>
      </c>
      <c r="K41" s="81">
        <v>7033.42</v>
      </c>
      <c r="L41" s="81">
        <v>0</v>
      </c>
      <c r="M41" s="81">
        <v>7033.42</v>
      </c>
      <c r="N41" s="161"/>
    </row>
    <row r="42" spans="1:13" s="74" customFormat="1" ht="12.75">
      <c r="A42" s="82" t="s">
        <v>78</v>
      </c>
      <c r="B42" s="83" t="s">
        <v>747</v>
      </c>
      <c r="C42" s="80">
        <f>D7+I7</f>
        <v>158434</v>
      </c>
      <c r="D42" s="81">
        <f>C7+L7</f>
        <v>92963.90428180002</v>
      </c>
      <c r="E42" s="81">
        <f>E7</f>
        <v>13361.4</v>
      </c>
      <c r="F42" s="81">
        <f>H7+J7+K7</f>
        <v>4836.88</v>
      </c>
      <c r="G42" s="81">
        <f>F7</f>
        <v>4290</v>
      </c>
      <c r="H42" s="81">
        <f>G7</f>
        <v>34742.07</v>
      </c>
      <c r="I42" s="81">
        <f>SUM(D42:H42)</f>
        <v>150194.2542818</v>
      </c>
      <c r="J42" s="81">
        <v>0</v>
      </c>
      <c r="K42" s="81">
        <f>I42+J42</f>
        <v>150194.2542818</v>
      </c>
      <c r="L42" s="81">
        <v>0</v>
      </c>
      <c r="M42" s="81">
        <f>K42+L42</f>
        <v>150194.2542818</v>
      </c>
    </row>
    <row r="43" spans="1:13" s="74" customFormat="1" ht="12.75">
      <c r="A43" s="82"/>
      <c r="B43" s="83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s="74" customFormat="1" ht="12.75">
      <c r="A44" s="82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s="74" customFormat="1" ht="12.75">
      <c r="A45" s="82" t="s">
        <v>238</v>
      </c>
      <c r="B45" s="83" t="s">
        <v>710</v>
      </c>
      <c r="C45" s="80">
        <v>143305</v>
      </c>
      <c r="D45" s="81">
        <v>59944.008000000016</v>
      </c>
      <c r="E45" s="81">
        <v>10437.57</v>
      </c>
      <c r="F45" s="81">
        <v>632.5</v>
      </c>
      <c r="G45" s="81">
        <v>735</v>
      </c>
      <c r="H45" s="81">
        <v>47523</v>
      </c>
      <c r="I45" s="81">
        <v>119272.07800000002</v>
      </c>
      <c r="J45" s="81">
        <v>4506.099106840001</v>
      </c>
      <c r="K45" s="81">
        <v>123778.17710684003</v>
      </c>
      <c r="L45" s="81">
        <v>-2253.1771068399976</v>
      </c>
      <c r="M45" s="81">
        <v>121525</v>
      </c>
    </row>
    <row r="46" spans="1:13" s="74" customFormat="1" ht="12.75">
      <c r="A46" s="82" t="s">
        <v>238</v>
      </c>
      <c r="B46" s="83" t="s">
        <v>711</v>
      </c>
      <c r="C46" s="80">
        <v>137395</v>
      </c>
      <c r="D46" s="81">
        <v>63356.679360000024</v>
      </c>
      <c r="E46" s="81">
        <v>9978.65</v>
      </c>
      <c r="F46" s="81">
        <v>1298.8887272727275</v>
      </c>
      <c r="G46" s="81">
        <v>780</v>
      </c>
      <c r="H46" s="81">
        <v>52920</v>
      </c>
      <c r="I46" s="81">
        <v>128334.21808727276</v>
      </c>
      <c r="J46" s="81">
        <v>6194.692707072656</v>
      </c>
      <c r="K46" s="81">
        <v>134528.91079434543</v>
      </c>
      <c r="L46" s="81">
        <v>1298</v>
      </c>
      <c r="M46" s="81">
        <v>135826.91079434543</v>
      </c>
    </row>
    <row r="47" spans="1:13" s="74" customFormat="1" ht="12.75">
      <c r="A47" s="82" t="s">
        <v>238</v>
      </c>
      <c r="B47" s="83" t="s">
        <v>712</v>
      </c>
      <c r="C47" s="80">
        <v>135896</v>
      </c>
      <c r="D47" s="81">
        <v>60943.12</v>
      </c>
      <c r="E47" s="81">
        <v>10641.54</v>
      </c>
      <c r="F47" s="81">
        <v>2346.75</v>
      </c>
      <c r="G47" s="81">
        <v>690</v>
      </c>
      <c r="H47" s="81">
        <v>56700</v>
      </c>
      <c r="I47" s="81">
        <v>131321.41</v>
      </c>
      <c r="J47" s="81">
        <v>2980.996007</v>
      </c>
      <c r="K47" s="81">
        <v>134302.406007</v>
      </c>
      <c r="L47" s="81">
        <v>1734</v>
      </c>
      <c r="M47" s="81">
        <v>136036.406007</v>
      </c>
    </row>
    <row r="48" spans="1:13" s="74" customFormat="1" ht="12.75">
      <c r="A48" s="82" t="s">
        <v>238</v>
      </c>
      <c r="B48" s="83" t="s">
        <v>713</v>
      </c>
      <c r="C48" s="80">
        <v>134393</v>
      </c>
      <c r="D48" s="81">
        <v>57974.57</v>
      </c>
      <c r="E48" s="81">
        <v>11393.14</v>
      </c>
      <c r="F48" s="81">
        <v>2205</v>
      </c>
      <c r="G48" s="81">
        <v>570</v>
      </c>
      <c r="H48" s="81">
        <v>59251.5</v>
      </c>
      <c r="I48" s="81">
        <v>131394.21</v>
      </c>
      <c r="J48" s="81">
        <v>0</v>
      </c>
      <c r="K48" s="81">
        <v>131394.21</v>
      </c>
      <c r="L48" s="81">
        <v>62189</v>
      </c>
      <c r="M48" s="81">
        <v>193583.21</v>
      </c>
    </row>
    <row r="49" spans="1:13" s="74" customFormat="1" ht="12.75">
      <c r="A49" s="82" t="s">
        <v>238</v>
      </c>
      <c r="B49" s="83" t="s">
        <v>714</v>
      </c>
      <c r="C49" s="80">
        <v>143434</v>
      </c>
      <c r="D49" s="81">
        <v>64684.513000000006</v>
      </c>
      <c r="E49" s="81">
        <v>12394.04</v>
      </c>
      <c r="F49" s="81">
        <v>3998.438709677419</v>
      </c>
      <c r="G49" s="81">
        <v>585</v>
      </c>
      <c r="H49" s="81">
        <v>59251.5</v>
      </c>
      <c r="I49" s="81">
        <v>140913.49170967744</v>
      </c>
      <c r="J49" s="81">
        <v>0</v>
      </c>
      <c r="K49" s="81">
        <v>140913.49170967744</v>
      </c>
      <c r="L49" s="81">
        <v>0</v>
      </c>
      <c r="M49" s="81">
        <v>140913.49170967744</v>
      </c>
    </row>
    <row r="50" spans="1:13" s="74" customFormat="1" ht="12.75">
      <c r="A50" s="82" t="s">
        <v>238</v>
      </c>
      <c r="B50" s="83" t="s">
        <v>747</v>
      </c>
      <c r="C50" s="80">
        <f>D6+I6</f>
        <v>139322</v>
      </c>
      <c r="D50" s="81">
        <f>C6+L6</f>
        <v>67640.27900759995</v>
      </c>
      <c r="E50" s="81">
        <f>E6</f>
        <v>12505.08</v>
      </c>
      <c r="F50" s="81">
        <f>H6+J6+K6</f>
        <v>5925.74</v>
      </c>
      <c r="G50" s="81">
        <f>F6</f>
        <v>540</v>
      </c>
      <c r="H50" s="81">
        <f>G6</f>
        <v>60740.625</v>
      </c>
      <c r="I50" s="81">
        <f>SUM(D50:H50)</f>
        <v>147351.72400759996</v>
      </c>
      <c r="J50" s="81">
        <v>0</v>
      </c>
      <c r="K50" s="81">
        <f>I50+J50</f>
        <v>147351.72400759996</v>
      </c>
      <c r="L50" s="81">
        <v>0</v>
      </c>
      <c r="M50" s="81">
        <f>K50+L50</f>
        <v>147351.72400759996</v>
      </c>
    </row>
    <row r="51" spans="1:13" s="74" customFormat="1" ht="12.75">
      <c r="A51" s="82"/>
      <c r="B51" s="83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s="74" customFormat="1" ht="12.75">
      <c r="A52" s="82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s="74" customFormat="1" ht="12.75">
      <c r="A53" s="82" t="s">
        <v>147</v>
      </c>
      <c r="B53" s="83" t="s">
        <v>710</v>
      </c>
      <c r="C53" s="80">
        <v>136849</v>
      </c>
      <c r="D53" s="81">
        <v>47466.33</v>
      </c>
      <c r="E53" s="81">
        <v>9496.93</v>
      </c>
      <c r="F53" s="81">
        <v>6179.94</v>
      </c>
      <c r="G53" s="81">
        <v>3495</v>
      </c>
      <c r="H53" s="81">
        <v>56602.28</v>
      </c>
      <c r="I53" s="81">
        <v>123240.48</v>
      </c>
      <c r="J53" s="81">
        <v>4656.025334399999</v>
      </c>
      <c r="K53" s="81">
        <v>127896.50533439998</v>
      </c>
      <c r="L53" s="81">
        <v>587.4946655999956</v>
      </c>
      <c r="M53" s="81">
        <v>128484</v>
      </c>
    </row>
    <row r="54" spans="1:13" s="74" customFormat="1" ht="12.75">
      <c r="A54" s="82" t="s">
        <v>147</v>
      </c>
      <c r="B54" s="83" t="s">
        <v>711</v>
      </c>
      <c r="C54" s="80">
        <v>129129</v>
      </c>
      <c r="D54" s="81">
        <v>47407.73023999999</v>
      </c>
      <c r="E54" s="81">
        <v>11366.66</v>
      </c>
      <c r="F54" s="81">
        <v>9296.978909090909</v>
      </c>
      <c r="G54" s="81">
        <v>3855</v>
      </c>
      <c r="H54" s="81">
        <v>62960.8</v>
      </c>
      <c r="I54" s="81">
        <v>134887.16914909089</v>
      </c>
      <c r="J54" s="81">
        <v>6511.003654826617</v>
      </c>
      <c r="K54" s="81">
        <v>141398.1728039175</v>
      </c>
      <c r="L54" s="81">
        <v>-14205</v>
      </c>
      <c r="M54" s="81">
        <v>127193.17280391749</v>
      </c>
    </row>
    <row r="55" spans="1:13" s="74" customFormat="1" ht="12.75">
      <c r="A55" s="82" t="s">
        <v>147</v>
      </c>
      <c r="B55" s="83" t="s">
        <v>712</v>
      </c>
      <c r="C55" s="80">
        <v>120469</v>
      </c>
      <c r="D55" s="81">
        <v>46454.56</v>
      </c>
      <c r="E55" s="81">
        <v>10509.91</v>
      </c>
      <c r="F55" s="81">
        <v>6619.39</v>
      </c>
      <c r="G55" s="81">
        <v>3810</v>
      </c>
      <c r="H55" s="81">
        <v>66462</v>
      </c>
      <c r="I55" s="81">
        <v>133855.86</v>
      </c>
      <c r="J55" s="81">
        <v>3038.528022</v>
      </c>
      <c r="K55" s="81">
        <v>136894.388022</v>
      </c>
      <c r="L55" s="81">
        <v>-3998</v>
      </c>
      <c r="M55" s="81">
        <v>132896.388022</v>
      </c>
    </row>
    <row r="56" spans="1:13" s="74" customFormat="1" ht="12.75">
      <c r="A56" s="82" t="s">
        <v>147</v>
      </c>
      <c r="B56" s="83" t="s">
        <v>713</v>
      </c>
      <c r="C56" s="80">
        <v>116637</v>
      </c>
      <c r="D56" s="81">
        <v>44736.44</v>
      </c>
      <c r="E56" s="81">
        <v>9955.6</v>
      </c>
      <c r="F56" s="81">
        <v>5131.24</v>
      </c>
      <c r="G56" s="81">
        <v>3585</v>
      </c>
      <c r="H56" s="81">
        <v>66317.163</v>
      </c>
      <c r="I56" s="81">
        <v>129725.44299999997</v>
      </c>
      <c r="J56" s="81">
        <v>0</v>
      </c>
      <c r="K56" s="81">
        <v>129725.44299999997</v>
      </c>
      <c r="L56" s="81">
        <v>7822</v>
      </c>
      <c r="M56" s="81">
        <v>137547.44299999997</v>
      </c>
    </row>
    <row r="57" spans="1:13" s="74" customFormat="1" ht="12.75">
      <c r="A57" s="82" t="s">
        <v>147</v>
      </c>
      <c r="B57" s="83" t="s">
        <v>714</v>
      </c>
      <c r="C57" s="80">
        <v>124978</v>
      </c>
      <c r="D57" s="81">
        <v>46341.914</v>
      </c>
      <c r="E57" s="81">
        <v>11240.36</v>
      </c>
      <c r="F57" s="81">
        <v>11614.086451612904</v>
      </c>
      <c r="G57" s="81">
        <v>3510</v>
      </c>
      <c r="H57" s="81">
        <v>66317.163</v>
      </c>
      <c r="I57" s="81">
        <v>139023.5234516129</v>
      </c>
      <c r="J57" s="81">
        <v>0</v>
      </c>
      <c r="K57" s="81">
        <v>139023.5234516129</v>
      </c>
      <c r="L57" s="81">
        <v>0</v>
      </c>
      <c r="M57" s="81">
        <v>139023.5234516129</v>
      </c>
    </row>
    <row r="58" spans="1:13" s="74" customFormat="1" ht="12.75">
      <c r="A58" s="82" t="s">
        <v>147</v>
      </c>
      <c r="B58" s="83" t="s">
        <v>747</v>
      </c>
      <c r="C58" s="80">
        <f>D8+I8</f>
        <v>191174</v>
      </c>
      <c r="D58" s="81">
        <f>C8+L8</f>
        <v>40521.833322799976</v>
      </c>
      <c r="E58" s="81">
        <f>E8</f>
        <v>9410.120000000006</v>
      </c>
      <c r="F58" s="81">
        <f>+H8+J8+K8</f>
        <v>13309.800000000001</v>
      </c>
      <c r="G58" s="81">
        <f>F8</f>
        <v>3450</v>
      </c>
      <c r="H58" s="81">
        <f>G8</f>
        <v>69452.163</v>
      </c>
      <c r="I58" s="81">
        <f>SUM(D58:H58)</f>
        <v>136143.91632279998</v>
      </c>
      <c r="J58" s="81">
        <v>0</v>
      </c>
      <c r="K58" s="81">
        <f>I58+J58</f>
        <v>136143.91632279998</v>
      </c>
      <c r="L58" s="81">
        <v>0</v>
      </c>
      <c r="M58" s="81">
        <f>K58+L58</f>
        <v>136143.91632279998</v>
      </c>
    </row>
    <row r="59" spans="1:13" s="74" customFormat="1" ht="12.75">
      <c r="A59" s="82"/>
      <c r="B59" s="83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s="74" customFormat="1" ht="12.75">
      <c r="A60" s="82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s="74" customFormat="1" ht="12.75">
      <c r="A61" s="82" t="s">
        <v>68</v>
      </c>
      <c r="B61" s="83" t="s">
        <v>710</v>
      </c>
      <c r="C61" s="80">
        <v>257374</v>
      </c>
      <c r="D61" s="81">
        <v>106670.20100000006</v>
      </c>
      <c r="E61" s="81">
        <v>16334.26</v>
      </c>
      <c r="F61" s="81">
        <v>1990.93</v>
      </c>
      <c r="G61" s="81">
        <v>14820</v>
      </c>
      <c r="H61" s="81">
        <v>241434.2</v>
      </c>
      <c r="I61" s="81">
        <v>381249.591</v>
      </c>
      <c r="J61" s="81">
        <v>14403.60954798</v>
      </c>
      <c r="K61" s="81">
        <v>395653.20054798</v>
      </c>
      <c r="L61" s="81">
        <v>-36792.20054798026</v>
      </c>
      <c r="M61" s="81">
        <v>358861</v>
      </c>
    </row>
    <row r="62" spans="1:13" s="74" customFormat="1" ht="12.75">
      <c r="A62" s="82" t="s">
        <v>68</v>
      </c>
      <c r="B62" s="83" t="s">
        <v>711</v>
      </c>
      <c r="C62" s="80">
        <v>191584</v>
      </c>
      <c r="D62" s="81">
        <v>91089.95479999996</v>
      </c>
      <c r="E62" s="81">
        <v>14949.92</v>
      </c>
      <c r="F62" s="81">
        <v>8349.15218181818</v>
      </c>
      <c r="G62" s="81">
        <v>14460</v>
      </c>
      <c r="H62" s="81">
        <v>224184.8</v>
      </c>
      <c r="I62" s="81">
        <v>353033.8269818181</v>
      </c>
      <c r="J62" s="81">
        <v>17040.94282841236</v>
      </c>
      <c r="K62" s="81">
        <v>370074.7698102305</v>
      </c>
      <c r="L62" s="81">
        <v>-20908</v>
      </c>
      <c r="M62" s="81">
        <v>349166.7698102305</v>
      </c>
    </row>
    <row r="63" spans="1:13" s="74" customFormat="1" ht="12.75">
      <c r="A63" s="82" t="s">
        <v>68</v>
      </c>
      <c r="B63" s="83" t="s">
        <v>712</v>
      </c>
      <c r="C63" s="80">
        <v>208647</v>
      </c>
      <c r="D63" s="81">
        <v>95752.98999999986</v>
      </c>
      <c r="E63" s="81">
        <v>15593.47</v>
      </c>
      <c r="F63" s="81">
        <v>5212.05</v>
      </c>
      <c r="G63" s="81">
        <v>13530</v>
      </c>
      <c r="H63" s="81">
        <v>230806.6</v>
      </c>
      <c r="I63" s="81">
        <v>360895.11</v>
      </c>
      <c r="J63" s="81">
        <v>8192.318996999997</v>
      </c>
      <c r="K63" s="81">
        <v>369087.42899699986</v>
      </c>
      <c r="L63" s="81">
        <v>-11582</v>
      </c>
      <c r="M63" s="81">
        <v>357505.42899699986</v>
      </c>
    </row>
    <row r="64" spans="1:13" s="74" customFormat="1" ht="12.75">
      <c r="A64" s="82" t="s">
        <v>68</v>
      </c>
      <c r="B64" s="83" t="s">
        <v>713</v>
      </c>
      <c r="C64" s="80">
        <v>199202</v>
      </c>
      <c r="D64" s="81">
        <v>92537.72000000006</v>
      </c>
      <c r="E64" s="81">
        <v>15172.57</v>
      </c>
      <c r="F64" s="81">
        <v>4661.695161290323</v>
      </c>
      <c r="G64" s="81">
        <v>12630</v>
      </c>
      <c r="H64" s="81">
        <v>238661.34896999993</v>
      </c>
      <c r="I64" s="81">
        <v>363663.3341312903</v>
      </c>
      <c r="J64" s="81">
        <v>0</v>
      </c>
      <c r="K64" s="81">
        <v>363663.3341312903</v>
      </c>
      <c r="L64" s="81">
        <v>-54021</v>
      </c>
      <c r="M64" s="81">
        <v>309642.3341312903</v>
      </c>
    </row>
    <row r="65" spans="1:13" s="74" customFormat="1" ht="12.75">
      <c r="A65" s="82" t="s">
        <v>68</v>
      </c>
      <c r="B65" s="83" t="s">
        <v>714</v>
      </c>
      <c r="C65" s="80">
        <v>212454</v>
      </c>
      <c r="D65" s="81">
        <v>87742.079</v>
      </c>
      <c r="E65" s="81">
        <v>15706.42</v>
      </c>
      <c r="F65" s="81">
        <v>6223.44806451613</v>
      </c>
      <c r="G65" s="81">
        <v>12210</v>
      </c>
      <c r="H65" s="81">
        <v>233484.34490040003</v>
      </c>
      <c r="I65" s="81">
        <v>355366.29196491616</v>
      </c>
      <c r="J65" s="81">
        <v>0</v>
      </c>
      <c r="K65" s="81">
        <v>355366.29196491616</v>
      </c>
      <c r="L65" s="81">
        <v>0</v>
      </c>
      <c r="M65" s="81">
        <v>355366.29196491616</v>
      </c>
    </row>
    <row r="66" spans="1:13" s="74" customFormat="1" ht="12.75">
      <c r="A66" s="82" t="s">
        <v>68</v>
      </c>
      <c r="B66" s="83" t="s">
        <v>747</v>
      </c>
      <c r="C66" s="80">
        <f>D12+I12</f>
        <v>210854</v>
      </c>
      <c r="D66" s="81">
        <f>C12+L12</f>
        <v>94125.6204648</v>
      </c>
      <c r="E66" s="81">
        <f>E12</f>
        <v>16078.4</v>
      </c>
      <c r="F66" s="81">
        <f>+H12+J12+K12</f>
        <v>21278.43</v>
      </c>
      <c r="G66" s="81">
        <f>F12</f>
        <v>12240</v>
      </c>
      <c r="H66" s="81">
        <f>G12</f>
        <v>229544.7</v>
      </c>
      <c r="I66" s="81">
        <f>SUM(D66:H66)</f>
        <v>373267.1504648</v>
      </c>
      <c r="J66" s="81">
        <v>0</v>
      </c>
      <c r="K66" s="81">
        <f>I66+J66</f>
        <v>373267.1504648</v>
      </c>
      <c r="L66" s="81">
        <v>0</v>
      </c>
      <c r="M66" s="81">
        <f>K66+L66</f>
        <v>373267.1504648</v>
      </c>
    </row>
    <row r="67" spans="1:13" s="74" customFormat="1" ht="12.75">
      <c r="A67" s="82"/>
      <c r="B67" s="83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s="74" customFormat="1" ht="12.75">
      <c r="A68" s="82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s="74" customFormat="1" ht="12.75">
      <c r="A69" s="82" t="s">
        <v>715</v>
      </c>
      <c r="B69" s="83" t="s">
        <v>710</v>
      </c>
      <c r="C69" s="80">
        <v>2064707</v>
      </c>
      <c r="D69" s="81">
        <v>561505.45</v>
      </c>
      <c r="E69" s="81">
        <v>41163.91</v>
      </c>
      <c r="F69" s="81">
        <v>60838.48</v>
      </c>
      <c r="G69" s="81">
        <v>6075</v>
      </c>
      <c r="H69" s="81">
        <v>75325.04</v>
      </c>
      <c r="I69" s="81">
        <v>744907.88</v>
      </c>
      <c r="J69" s="81">
        <v>28142.619706399993</v>
      </c>
      <c r="K69" s="81">
        <v>773050.4997063997</v>
      </c>
      <c r="L69" s="81">
        <v>170575.50029360014</v>
      </c>
      <c r="M69" s="81">
        <v>943626</v>
      </c>
    </row>
    <row r="70" spans="1:13" s="74" customFormat="1" ht="12.75">
      <c r="A70" s="82" t="s">
        <v>715</v>
      </c>
      <c r="B70" s="83" t="s">
        <v>711</v>
      </c>
      <c r="C70" s="80">
        <v>2040835</v>
      </c>
      <c r="D70" s="81">
        <v>515411.67912</v>
      </c>
      <c r="E70" s="81">
        <v>45665.5</v>
      </c>
      <c r="F70" s="81">
        <v>57541.367999999995</v>
      </c>
      <c r="G70" s="81">
        <v>5685</v>
      </c>
      <c r="H70" s="81">
        <v>82924.8</v>
      </c>
      <c r="I70" s="81">
        <v>707228.34712</v>
      </c>
      <c r="J70" s="81">
        <v>34137.912315482405</v>
      </c>
      <c r="K70" s="81">
        <v>741366.2594354824</v>
      </c>
      <c r="L70" s="81">
        <v>20891</v>
      </c>
      <c r="M70" s="81">
        <v>762257.2594354824</v>
      </c>
    </row>
    <row r="71" spans="1:13" s="74" customFormat="1" ht="12.75">
      <c r="A71" s="82"/>
      <c r="B71" s="83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74" customFormat="1" ht="12.75">
      <c r="A72" s="82" t="s">
        <v>3</v>
      </c>
      <c r="B72" s="83" t="s">
        <v>712</v>
      </c>
      <c r="C72" s="80">
        <v>129023</v>
      </c>
      <c r="D72" s="81">
        <v>50306.95</v>
      </c>
      <c r="E72" s="81">
        <v>6839.58</v>
      </c>
      <c r="F72" s="81">
        <v>787.7</v>
      </c>
      <c r="G72" s="81">
        <v>1950</v>
      </c>
      <c r="H72" s="81">
        <v>21000</v>
      </c>
      <c r="I72" s="81">
        <v>80884.23</v>
      </c>
      <c r="J72" s="81">
        <v>1836.072021</v>
      </c>
      <c r="K72" s="81">
        <v>82720.302021</v>
      </c>
      <c r="L72" s="81">
        <v>-399</v>
      </c>
      <c r="M72" s="81">
        <v>82321.302021</v>
      </c>
    </row>
    <row r="73" spans="1:13" s="74" customFormat="1" ht="12.75">
      <c r="A73" s="82" t="s">
        <v>3</v>
      </c>
      <c r="B73" s="83" t="s">
        <v>713</v>
      </c>
      <c r="C73" s="80">
        <v>125478</v>
      </c>
      <c r="D73" s="81">
        <v>44456.48</v>
      </c>
      <c r="E73" s="81">
        <v>5399.97</v>
      </c>
      <c r="F73" s="81">
        <v>693</v>
      </c>
      <c r="G73" s="81">
        <v>1755</v>
      </c>
      <c r="H73" s="81">
        <v>25080</v>
      </c>
      <c r="I73" s="81">
        <v>77384.45</v>
      </c>
      <c r="J73" s="81">
        <v>0</v>
      </c>
      <c r="K73" s="81">
        <v>77384.45</v>
      </c>
      <c r="L73" s="81">
        <v>81</v>
      </c>
      <c r="M73" s="81">
        <v>77465.45</v>
      </c>
    </row>
    <row r="74" spans="1:13" s="74" customFormat="1" ht="12.75">
      <c r="A74" s="82" t="s">
        <v>3</v>
      </c>
      <c r="B74" s="83" t="s">
        <v>714</v>
      </c>
      <c r="C74" s="80">
        <v>158533</v>
      </c>
      <c r="D74" s="81">
        <v>44165.451</v>
      </c>
      <c r="E74" s="81">
        <v>5405.21</v>
      </c>
      <c r="F74" s="81">
        <v>149.99225806451614</v>
      </c>
      <c r="G74" s="81">
        <v>1860</v>
      </c>
      <c r="H74" s="81">
        <v>25080</v>
      </c>
      <c r="I74" s="81">
        <v>76660.65325806451</v>
      </c>
      <c r="J74" s="81">
        <v>0</v>
      </c>
      <c r="K74" s="81">
        <v>76660.65325806451</v>
      </c>
      <c r="L74" s="81">
        <v>0</v>
      </c>
      <c r="M74" s="81">
        <v>76660.65325806451</v>
      </c>
    </row>
    <row r="75" spans="1:13" s="74" customFormat="1" ht="12.75">
      <c r="A75" s="82" t="s">
        <v>3</v>
      </c>
      <c r="B75" s="83" t="s">
        <v>747</v>
      </c>
      <c r="C75" s="80">
        <f>D10+I10</f>
        <v>72980</v>
      </c>
      <c r="D75" s="81">
        <f>C10+L10</f>
        <v>37018.6398892</v>
      </c>
      <c r="E75" s="81">
        <f>E10</f>
        <v>6007.16</v>
      </c>
      <c r="F75" s="81">
        <f>+H10+J10+K10</f>
        <v>19910.96</v>
      </c>
      <c r="G75" s="81">
        <f>F10</f>
        <v>1740</v>
      </c>
      <c r="H75" s="81">
        <f>G10</f>
        <v>21945</v>
      </c>
      <c r="I75" s="81">
        <f>SUM(D75:H75)</f>
        <v>86621.75988920001</v>
      </c>
      <c r="J75" s="81">
        <v>0</v>
      </c>
      <c r="K75" s="81">
        <f>I75+J75</f>
        <v>86621.75988920001</v>
      </c>
      <c r="L75" s="81">
        <v>0</v>
      </c>
      <c r="M75" s="81">
        <f>K75+L75</f>
        <v>86621.75988920001</v>
      </c>
    </row>
    <row r="76" spans="1:13" s="74" customFormat="1" ht="12.75">
      <c r="A76" s="82"/>
      <c r="B76" s="83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s="74" customFormat="1" ht="12.75">
      <c r="A77" s="82"/>
      <c r="B77" s="83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s="74" customFormat="1" ht="12.75">
      <c r="A78" s="82" t="s">
        <v>58</v>
      </c>
      <c r="B78" s="83" t="s">
        <v>712</v>
      </c>
      <c r="C78" s="80">
        <v>635725</v>
      </c>
      <c r="D78" s="81">
        <v>280206.22</v>
      </c>
      <c r="E78" s="81">
        <v>25642.09</v>
      </c>
      <c r="F78" s="81">
        <v>29198.63</v>
      </c>
      <c r="G78" s="81">
        <v>4245</v>
      </c>
      <c r="H78" s="81">
        <v>66048</v>
      </c>
      <c r="I78" s="81">
        <v>405339.94</v>
      </c>
      <c r="J78" s="81">
        <v>9201.216638</v>
      </c>
      <c r="K78" s="81">
        <v>414541.156638</v>
      </c>
      <c r="L78" s="81">
        <v>22776</v>
      </c>
      <c r="M78" s="81">
        <v>437317.156638</v>
      </c>
    </row>
    <row r="79" spans="1:13" s="74" customFormat="1" ht="12.75">
      <c r="A79" s="82" t="s">
        <v>58</v>
      </c>
      <c r="B79" s="83" t="s">
        <v>713</v>
      </c>
      <c r="C79" s="80">
        <v>647202</v>
      </c>
      <c r="D79" s="81">
        <v>267133.57</v>
      </c>
      <c r="E79" s="81">
        <v>24169.42</v>
      </c>
      <c r="F79" s="81">
        <v>31350.2057</v>
      </c>
      <c r="G79" s="81">
        <v>3855</v>
      </c>
      <c r="H79" s="81">
        <v>69024.549</v>
      </c>
      <c r="I79" s="81">
        <v>395532.7447</v>
      </c>
      <c r="J79" s="81">
        <v>0</v>
      </c>
      <c r="K79" s="81">
        <v>395532.7447</v>
      </c>
      <c r="L79" s="81">
        <v>3406</v>
      </c>
      <c r="M79" s="81">
        <v>398938.7447</v>
      </c>
    </row>
    <row r="80" spans="1:13" s="74" customFormat="1" ht="12.75">
      <c r="A80" s="82" t="s">
        <v>58</v>
      </c>
      <c r="B80" s="83" t="s">
        <v>714</v>
      </c>
      <c r="C80" s="80">
        <v>689479</v>
      </c>
      <c r="D80" s="81">
        <v>309201.8250000001</v>
      </c>
      <c r="E80" s="81">
        <v>28957.01</v>
      </c>
      <c r="F80" s="81">
        <v>35561.03258064516</v>
      </c>
      <c r="G80" s="81">
        <v>4230</v>
      </c>
      <c r="H80" s="81">
        <v>69024.549</v>
      </c>
      <c r="I80" s="81">
        <v>446974.4165806453</v>
      </c>
      <c r="J80" s="81">
        <v>0</v>
      </c>
      <c r="K80" s="81">
        <v>446974.4165806453</v>
      </c>
      <c r="L80" s="81">
        <v>0</v>
      </c>
      <c r="M80" s="81">
        <v>446974.4165806453</v>
      </c>
    </row>
    <row r="81" spans="1:13" s="74" customFormat="1" ht="12.75">
      <c r="A81" s="82" t="s">
        <v>58</v>
      </c>
      <c r="B81" s="83" t="s">
        <v>747</v>
      </c>
      <c r="C81" s="80">
        <f>D9+I9</f>
        <v>823336</v>
      </c>
      <c r="D81" s="81">
        <f>C9+L9</f>
        <v>195850.3980867998</v>
      </c>
      <c r="E81" s="81">
        <f>E9</f>
        <v>24772.6</v>
      </c>
      <c r="F81" s="81">
        <f>+H9+J9+K9</f>
        <v>172546.59</v>
      </c>
      <c r="G81" s="81">
        <f>F9</f>
        <v>4335</v>
      </c>
      <c r="H81" s="81">
        <f>G9</f>
        <v>69338.049</v>
      </c>
      <c r="I81" s="81">
        <f>SUM(D81:H81)</f>
        <v>466842.63708679983</v>
      </c>
      <c r="J81" s="81">
        <v>0</v>
      </c>
      <c r="K81" s="81">
        <f>I81+J81</f>
        <v>466842.63708679983</v>
      </c>
      <c r="L81" s="81">
        <v>0</v>
      </c>
      <c r="M81" s="81">
        <f>K81+L81</f>
        <v>466842.63708679983</v>
      </c>
    </row>
    <row r="82" spans="1:13" s="74" customFormat="1" ht="12.75">
      <c r="A82" s="82"/>
      <c r="B82" s="83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s="74" customFormat="1" ht="12.75">
      <c r="A83" s="82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s="74" customFormat="1" ht="12.75">
      <c r="A84" s="82" t="s">
        <v>716</v>
      </c>
      <c r="B84" s="83" t="s">
        <v>710</v>
      </c>
      <c r="C84" s="80">
        <v>58</v>
      </c>
      <c r="D84" s="81">
        <v>26.575</v>
      </c>
      <c r="E84" s="81">
        <v>5.18</v>
      </c>
      <c r="F84" s="81">
        <v>110</v>
      </c>
      <c r="G84" s="81">
        <v>30</v>
      </c>
      <c r="H84" s="81">
        <v>4340</v>
      </c>
      <c r="I84" s="81">
        <v>4511.755</v>
      </c>
      <c r="J84" s="81">
        <v>170.4541039</v>
      </c>
      <c r="K84" s="81">
        <v>4682.2091039</v>
      </c>
      <c r="L84" s="81">
        <v>-0.20910389999971812</v>
      </c>
      <c r="M84" s="81">
        <v>4682</v>
      </c>
    </row>
    <row r="85" spans="1:13" s="74" customFormat="1" ht="12.75">
      <c r="A85" s="82" t="s">
        <v>716</v>
      </c>
      <c r="B85" s="83" t="s">
        <v>711</v>
      </c>
      <c r="C85" s="80">
        <v>3</v>
      </c>
      <c r="D85" s="81">
        <v>1.6328</v>
      </c>
      <c r="E85" s="81">
        <v>0.18</v>
      </c>
      <c r="F85" s="81">
        <v>162.76690909090908</v>
      </c>
      <c r="G85" s="81">
        <v>30</v>
      </c>
      <c r="H85" s="81">
        <v>5600</v>
      </c>
      <c r="I85" s="81">
        <v>5794.579709090909</v>
      </c>
      <c r="J85" s="81">
        <v>279.7043625578182</v>
      </c>
      <c r="K85" s="81">
        <v>6074.284071648727</v>
      </c>
      <c r="L85" s="81">
        <v>0</v>
      </c>
      <c r="M85" s="81">
        <v>6074.284071648727</v>
      </c>
    </row>
    <row r="86" spans="1:13" s="74" customFormat="1" ht="12.75">
      <c r="A86" s="82" t="s">
        <v>716</v>
      </c>
      <c r="B86" s="83" t="s">
        <v>712</v>
      </c>
      <c r="C86" s="80">
        <v>607</v>
      </c>
      <c r="D86" s="81">
        <v>900</v>
      </c>
      <c r="E86" s="81">
        <v>37.3</v>
      </c>
      <c r="F86" s="81">
        <v>409.5</v>
      </c>
      <c r="G86" s="81">
        <v>180</v>
      </c>
      <c r="H86" s="81">
        <v>6000</v>
      </c>
      <c r="I86" s="81">
        <v>7526.8</v>
      </c>
      <c r="J86" s="81">
        <v>170.85836</v>
      </c>
      <c r="K86" s="81">
        <v>7697.65836</v>
      </c>
      <c r="L86" s="81">
        <v>93</v>
      </c>
      <c r="M86" s="81">
        <v>7790.65836</v>
      </c>
    </row>
    <row r="87" spans="1:13" s="74" customFormat="1" ht="12.75">
      <c r="A87" s="82" t="s">
        <v>716</v>
      </c>
      <c r="B87" s="83" t="s">
        <v>713</v>
      </c>
      <c r="C87" s="80">
        <v>1817</v>
      </c>
      <c r="D87" s="81">
        <v>1004.11</v>
      </c>
      <c r="E87" s="81">
        <v>126.12</v>
      </c>
      <c r="F87" s="81">
        <v>472.5</v>
      </c>
      <c r="G87" s="81">
        <v>180</v>
      </c>
      <c r="H87" s="81">
        <v>6270</v>
      </c>
      <c r="I87" s="81">
        <v>8052.73</v>
      </c>
      <c r="J87" s="81">
        <v>0</v>
      </c>
      <c r="K87" s="81">
        <v>8052.73</v>
      </c>
      <c r="L87" s="81">
        <v>0</v>
      </c>
      <c r="M87" s="81">
        <v>8052.73</v>
      </c>
    </row>
    <row r="88" spans="1:13" s="74" customFormat="1" ht="12.75">
      <c r="A88" s="82" t="s">
        <v>716</v>
      </c>
      <c r="B88" s="83" t="s">
        <v>714</v>
      </c>
      <c r="C88" s="80">
        <v>406</v>
      </c>
      <c r="D88" s="81">
        <v>632.3929999999999</v>
      </c>
      <c r="E88" s="81">
        <v>24.34</v>
      </c>
      <c r="F88" s="81">
        <v>788.2722580645161</v>
      </c>
      <c r="G88" s="81">
        <v>180</v>
      </c>
      <c r="H88" s="81">
        <v>6270</v>
      </c>
      <c r="I88" s="81">
        <v>7895.005258064516</v>
      </c>
      <c r="J88" s="81">
        <v>0</v>
      </c>
      <c r="K88" s="81">
        <v>7895.005258064516</v>
      </c>
      <c r="L88" s="81">
        <v>0</v>
      </c>
      <c r="M88" s="81">
        <v>7895.005258064516</v>
      </c>
    </row>
    <row r="89" spans="1:13" s="74" customFormat="1" ht="12.75">
      <c r="A89" s="82" t="s">
        <v>716</v>
      </c>
      <c r="B89" s="83" t="s">
        <v>747</v>
      </c>
      <c r="C89" s="80">
        <f>D11+I11</f>
        <v>112</v>
      </c>
      <c r="D89" s="81">
        <f>C11+L11</f>
        <v>278.74514359999995</v>
      </c>
      <c r="E89" s="81">
        <f>E11</f>
        <v>6.84</v>
      </c>
      <c r="F89" s="81">
        <f>+H11+J11+K11</f>
        <v>1530</v>
      </c>
      <c r="G89" s="81">
        <f>F11</f>
        <v>135</v>
      </c>
      <c r="H89" s="81">
        <f>G11</f>
        <v>6270</v>
      </c>
      <c r="I89" s="81">
        <f>SUM(D89:H89)</f>
        <v>8220.5851436</v>
      </c>
      <c r="J89" s="81">
        <v>0</v>
      </c>
      <c r="K89" s="81">
        <f>I89+J89</f>
        <v>8220.5851436</v>
      </c>
      <c r="L89" s="81">
        <v>0</v>
      </c>
      <c r="M89" s="81">
        <f>K89+L89</f>
        <v>8220.5851436</v>
      </c>
    </row>
    <row r="90" spans="1:13" s="74" customFormat="1" ht="12.75">
      <c r="A90" s="82"/>
      <c r="B90" s="83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s="74" customFormat="1" ht="12.75">
      <c r="A91" s="82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s="74" customFormat="1" ht="12.75">
      <c r="A92" s="84" t="s">
        <v>271</v>
      </c>
      <c r="B92" s="83" t="s">
        <v>710</v>
      </c>
      <c r="C92" s="80">
        <v>79819</v>
      </c>
      <c r="D92" s="81">
        <v>29136.927999999996</v>
      </c>
      <c r="E92" s="81">
        <v>6460.99</v>
      </c>
      <c r="F92" s="81">
        <v>1072.5</v>
      </c>
      <c r="G92" s="81">
        <v>1050</v>
      </c>
      <c r="H92" s="81">
        <v>41108.48</v>
      </c>
      <c r="I92" s="81">
        <v>78828.89799999999</v>
      </c>
      <c r="J92" s="81">
        <v>2978.1557664399998</v>
      </c>
      <c r="K92" s="81">
        <v>81807.05376643999</v>
      </c>
      <c r="L92" s="81">
        <v>-0.05376644000352826</v>
      </c>
      <c r="M92" s="81">
        <v>81807</v>
      </c>
    </row>
    <row r="93" spans="1:13" s="74" customFormat="1" ht="12.75">
      <c r="A93" s="84" t="s">
        <v>271</v>
      </c>
      <c r="B93" s="83" t="s">
        <v>711</v>
      </c>
      <c r="C93" s="80">
        <v>68269</v>
      </c>
      <c r="D93" s="81">
        <v>27761.98048</v>
      </c>
      <c r="E93" s="81">
        <v>6108.94</v>
      </c>
      <c r="F93" s="81">
        <v>1684.0552727272727</v>
      </c>
      <c r="G93" s="81">
        <v>1545</v>
      </c>
      <c r="H93" s="81">
        <v>42240.8</v>
      </c>
      <c r="I93" s="81">
        <v>79340.77575272728</v>
      </c>
      <c r="J93" s="81">
        <v>3829.779245584146</v>
      </c>
      <c r="K93" s="81">
        <v>83170.55499831142</v>
      </c>
      <c r="L93" s="81">
        <v>-5870</v>
      </c>
      <c r="M93" s="81">
        <v>77300.55499831142</v>
      </c>
    </row>
    <row r="94" spans="1:13" s="74" customFormat="1" ht="12.75">
      <c r="A94" s="84" t="s">
        <v>271</v>
      </c>
      <c r="B94" s="83" t="s">
        <v>712</v>
      </c>
      <c r="C94" s="80">
        <v>68866</v>
      </c>
      <c r="D94" s="81">
        <v>28948.43</v>
      </c>
      <c r="E94" s="81">
        <v>5710.39</v>
      </c>
      <c r="F94" s="81">
        <v>1653.75</v>
      </c>
      <c r="G94" s="81">
        <v>1725</v>
      </c>
      <c r="H94" s="81">
        <v>48258</v>
      </c>
      <c r="I94" s="81">
        <v>86295.57</v>
      </c>
      <c r="J94" s="81">
        <v>1958.9094390000002</v>
      </c>
      <c r="K94" s="81">
        <v>88254.479439</v>
      </c>
      <c r="L94" s="81">
        <v>-17527</v>
      </c>
      <c r="M94" s="81">
        <v>70727.479439</v>
      </c>
    </row>
    <row r="95" spans="1:13" s="74" customFormat="1" ht="12.75">
      <c r="A95" s="84" t="s">
        <v>271</v>
      </c>
      <c r="B95" s="83" t="s">
        <v>713</v>
      </c>
      <c r="C95" s="80">
        <v>82695</v>
      </c>
      <c r="D95" s="81">
        <v>33780.34</v>
      </c>
      <c r="E95" s="81">
        <v>6964.78</v>
      </c>
      <c r="F95" s="81">
        <v>929.4735483870968</v>
      </c>
      <c r="G95" s="81">
        <v>1425</v>
      </c>
      <c r="H95" s="81">
        <v>47293.983</v>
      </c>
      <c r="I95" s="81">
        <v>90393.5765483871</v>
      </c>
      <c r="J95" s="81">
        <v>0</v>
      </c>
      <c r="K95" s="81">
        <v>90393.5765483871</v>
      </c>
      <c r="L95" s="81">
        <v>29733</v>
      </c>
      <c r="M95" s="81">
        <v>120126.5765483871</v>
      </c>
    </row>
    <row r="96" spans="1:13" s="74" customFormat="1" ht="12.75">
      <c r="A96" s="84" t="s">
        <v>271</v>
      </c>
      <c r="B96" s="83" t="s">
        <v>714</v>
      </c>
      <c r="C96" s="80">
        <v>63245</v>
      </c>
      <c r="D96" s="81">
        <v>24803.898000000005</v>
      </c>
      <c r="E96" s="81">
        <v>5778.08</v>
      </c>
      <c r="F96" s="81">
        <v>1486.6722580645162</v>
      </c>
      <c r="G96" s="81">
        <v>1560</v>
      </c>
      <c r="H96" s="81">
        <v>47293.983</v>
      </c>
      <c r="I96" s="81">
        <v>80922.63325806451</v>
      </c>
      <c r="J96" s="81">
        <v>0</v>
      </c>
      <c r="K96" s="81">
        <v>80922.63325806451</v>
      </c>
      <c r="L96" s="81">
        <v>0</v>
      </c>
      <c r="M96" s="81">
        <v>80922.63325806451</v>
      </c>
    </row>
    <row r="97" spans="1:13" s="74" customFormat="1" ht="12.75">
      <c r="A97" s="84" t="s">
        <v>271</v>
      </c>
      <c r="B97" s="83" t="s">
        <v>747</v>
      </c>
      <c r="C97" s="80">
        <f>D13+I13</f>
        <v>65623</v>
      </c>
      <c r="D97" s="81">
        <f>C13+L13</f>
        <v>29449.856454</v>
      </c>
      <c r="E97" s="81">
        <f>E13</f>
        <v>6087.34</v>
      </c>
      <c r="F97" s="81">
        <f>+H13+J13+K13</f>
        <v>1278</v>
      </c>
      <c r="G97" s="81">
        <f>F13</f>
        <v>1665</v>
      </c>
      <c r="H97" s="81">
        <f>G13</f>
        <v>47293.983</v>
      </c>
      <c r="I97" s="81">
        <f>SUM(D97:H97)</f>
        <v>85774.179454</v>
      </c>
      <c r="J97" s="81">
        <v>0</v>
      </c>
      <c r="K97" s="81">
        <f>I97+J97</f>
        <v>85774.179454</v>
      </c>
      <c r="L97" s="81">
        <v>0</v>
      </c>
      <c r="M97" s="81">
        <f>K97+L97</f>
        <v>85774.179454</v>
      </c>
    </row>
    <row r="98" spans="1:13" s="74" customFormat="1" ht="12.75">
      <c r="A98" s="84"/>
      <c r="B98" s="83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s="74" customFormat="1" ht="12.75">
      <c r="A99" s="82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s="74" customFormat="1" ht="12.75">
      <c r="A100" s="79" t="s">
        <v>717</v>
      </c>
      <c r="B100" s="83" t="s">
        <v>710</v>
      </c>
      <c r="C100" s="80">
        <v>19116</v>
      </c>
      <c r="D100" s="81">
        <v>9076.304999999997</v>
      </c>
      <c r="E100" s="81">
        <v>1353.88</v>
      </c>
      <c r="F100" s="81">
        <v>330</v>
      </c>
      <c r="G100" s="81">
        <v>1905</v>
      </c>
      <c r="H100" s="81">
        <v>9548</v>
      </c>
      <c r="I100" s="81">
        <v>22213.184999999998</v>
      </c>
      <c r="J100" s="81">
        <v>839.2141293</v>
      </c>
      <c r="K100" s="81">
        <v>23052.399129299996</v>
      </c>
      <c r="L100" s="81">
        <v>-1605.3991292999963</v>
      </c>
      <c r="M100" s="81">
        <v>21447</v>
      </c>
    </row>
    <row r="101" spans="1:13" s="74" customFormat="1" ht="12.75">
      <c r="A101" s="79" t="s">
        <v>717</v>
      </c>
      <c r="B101" s="83" t="s">
        <v>711</v>
      </c>
      <c r="C101" s="80">
        <v>18473</v>
      </c>
      <c r="D101" s="81">
        <v>8874.040240000002</v>
      </c>
      <c r="E101" s="81">
        <v>1131.59</v>
      </c>
      <c r="F101" s="81">
        <v>663.5712727272728</v>
      </c>
      <c r="G101" s="81">
        <v>2070</v>
      </c>
      <c r="H101" s="81">
        <v>11183.2</v>
      </c>
      <c r="I101" s="81">
        <v>23922.401512727276</v>
      </c>
      <c r="J101" s="81">
        <v>1154.7343210193455</v>
      </c>
      <c r="K101" s="81">
        <v>25077.135833746623</v>
      </c>
      <c r="L101" s="81">
        <v>-104</v>
      </c>
      <c r="M101" s="81">
        <v>24973.135833746623</v>
      </c>
    </row>
    <row r="102" spans="1:13" s="74" customFormat="1" ht="12.75">
      <c r="A102" s="79" t="s">
        <v>717</v>
      </c>
      <c r="B102" s="83" t="s">
        <v>712</v>
      </c>
      <c r="C102" s="80">
        <v>14068</v>
      </c>
      <c r="D102" s="81">
        <v>8757.69</v>
      </c>
      <c r="E102" s="81">
        <v>1086.41</v>
      </c>
      <c r="F102" s="81">
        <v>456.75</v>
      </c>
      <c r="G102" s="81">
        <v>1755</v>
      </c>
      <c r="H102" s="81">
        <v>8472</v>
      </c>
      <c r="I102" s="81">
        <v>20527.85</v>
      </c>
      <c r="J102" s="81">
        <v>465.982195</v>
      </c>
      <c r="K102" s="81">
        <v>20993.832195</v>
      </c>
      <c r="L102" s="81">
        <v>3324</v>
      </c>
      <c r="M102" s="81">
        <v>24317.832195</v>
      </c>
    </row>
    <row r="103" spans="1:13" s="74" customFormat="1" ht="12.75">
      <c r="A103" s="79" t="s">
        <v>717</v>
      </c>
      <c r="B103" s="83" t="s">
        <v>713</v>
      </c>
      <c r="C103" s="80">
        <v>11004</v>
      </c>
      <c r="D103" s="81">
        <v>6680.37</v>
      </c>
      <c r="E103" s="81">
        <v>887.34</v>
      </c>
      <c r="F103" s="81">
        <v>189</v>
      </c>
      <c r="G103" s="81">
        <v>1680</v>
      </c>
      <c r="H103" s="81">
        <v>8843.835</v>
      </c>
      <c r="I103" s="81">
        <v>18280.545000000002</v>
      </c>
      <c r="J103" s="81">
        <v>0</v>
      </c>
      <c r="K103" s="81">
        <v>18280.545000000002</v>
      </c>
      <c r="L103" s="81">
        <v>3500</v>
      </c>
      <c r="M103" s="81">
        <v>21780.545000000002</v>
      </c>
    </row>
    <row r="104" spans="1:13" s="74" customFormat="1" ht="12.75">
      <c r="A104" s="79" t="s">
        <v>717</v>
      </c>
      <c r="B104" s="83" t="s">
        <v>714</v>
      </c>
      <c r="C104" s="80">
        <v>9996</v>
      </c>
      <c r="D104" s="81">
        <v>5577.445</v>
      </c>
      <c r="E104" s="81">
        <v>835.36</v>
      </c>
      <c r="F104" s="81">
        <v>351.8709677419355</v>
      </c>
      <c r="G104" s="81">
        <v>1830</v>
      </c>
      <c r="H104" s="81">
        <v>8843.835000000001</v>
      </c>
      <c r="I104" s="81">
        <v>17438.51096774194</v>
      </c>
      <c r="J104" s="81">
        <v>0</v>
      </c>
      <c r="K104" s="81">
        <v>17438.51096774194</v>
      </c>
      <c r="L104" s="81">
        <v>0</v>
      </c>
      <c r="M104" s="81">
        <v>17438.51096774194</v>
      </c>
    </row>
    <row r="105" spans="1:13" s="74" customFormat="1" ht="12.75">
      <c r="A105" s="79" t="s">
        <v>717</v>
      </c>
      <c r="B105" s="83" t="s">
        <v>747</v>
      </c>
      <c r="C105" s="80">
        <f>D14+I14</f>
        <v>11902</v>
      </c>
      <c r="D105" s="81">
        <f>C14+L14</f>
        <v>7606.430044000001</v>
      </c>
      <c r="E105" s="81">
        <f>E14</f>
        <v>997.8399999999995</v>
      </c>
      <c r="F105" s="81">
        <f>+H14+J14+K14</f>
        <v>558</v>
      </c>
      <c r="G105" s="81">
        <f>F14</f>
        <v>1770</v>
      </c>
      <c r="H105" s="81">
        <f>G14</f>
        <v>8922.21</v>
      </c>
      <c r="I105" s="81">
        <f>SUM(D105:H105)</f>
        <v>19854.480044</v>
      </c>
      <c r="J105" s="81">
        <v>0</v>
      </c>
      <c r="K105" s="81">
        <f>I105+J105</f>
        <v>19854.480044</v>
      </c>
      <c r="L105" s="81">
        <v>0</v>
      </c>
      <c r="M105" s="81">
        <f>K105+L105</f>
        <v>19854.480044</v>
      </c>
    </row>
    <row r="106" spans="1:13" s="74" customFormat="1" ht="12.75">
      <c r="A106" s="79"/>
      <c r="B106" s="83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s="74" customFormat="1" ht="12.75">
      <c r="A107" s="79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s="74" customFormat="1" ht="12.75">
      <c r="A108" s="86" t="s">
        <v>718</v>
      </c>
      <c r="B108" s="83" t="s">
        <v>710</v>
      </c>
      <c r="C108" s="80">
        <v>69774</v>
      </c>
      <c r="D108" s="81">
        <v>39711.556000000004</v>
      </c>
      <c r="E108" s="81">
        <v>5413.62</v>
      </c>
      <c r="F108" s="81">
        <v>55</v>
      </c>
      <c r="G108" s="81">
        <v>180</v>
      </c>
      <c r="H108" s="81">
        <v>2170</v>
      </c>
      <c r="I108" s="81">
        <v>47530.17600000001</v>
      </c>
      <c r="J108" s="81">
        <v>1795.6900492800003</v>
      </c>
      <c r="K108" s="81">
        <v>49325.866049280005</v>
      </c>
      <c r="L108" s="81">
        <v>0</v>
      </c>
      <c r="M108" s="81">
        <v>49325.866049280005</v>
      </c>
    </row>
    <row r="109" spans="1:13" s="74" customFormat="1" ht="12.75">
      <c r="A109" s="86" t="s">
        <v>718</v>
      </c>
      <c r="B109" s="83" t="s">
        <v>711</v>
      </c>
      <c r="C109" s="80">
        <v>45489</v>
      </c>
      <c r="D109" s="81">
        <v>29386.28368</v>
      </c>
      <c r="E109" s="81">
        <v>3890.3</v>
      </c>
      <c r="F109" s="81">
        <v>15.5</v>
      </c>
      <c r="G109" s="81">
        <v>180</v>
      </c>
      <c r="H109" s="81">
        <v>2800</v>
      </c>
      <c r="I109" s="81">
        <v>36272.08368</v>
      </c>
      <c r="J109" s="81">
        <v>1750.8534792336002</v>
      </c>
      <c r="K109" s="81">
        <v>38022.9371592336</v>
      </c>
      <c r="L109" s="81">
        <v>0</v>
      </c>
      <c r="M109" s="81">
        <v>38022.9371592336</v>
      </c>
    </row>
    <row r="110" spans="1:13" s="74" customFormat="1" ht="12.75">
      <c r="A110" s="86" t="s">
        <v>718</v>
      </c>
      <c r="B110" s="83" t="s">
        <v>712</v>
      </c>
      <c r="C110" s="80">
        <v>65880</v>
      </c>
      <c r="D110" s="81">
        <v>31694.81</v>
      </c>
      <c r="E110" s="81">
        <v>5420.71</v>
      </c>
      <c r="F110" s="81">
        <v>0</v>
      </c>
      <c r="G110" s="81">
        <v>180</v>
      </c>
      <c r="H110" s="81">
        <v>3000</v>
      </c>
      <c r="I110" s="81">
        <v>40295.52</v>
      </c>
      <c r="J110" s="81">
        <v>914.7083040000001</v>
      </c>
      <c r="K110" s="81">
        <v>41210.228304000004</v>
      </c>
      <c r="L110" s="81">
        <v>0</v>
      </c>
      <c r="M110" s="81">
        <v>41210.228304000004</v>
      </c>
    </row>
    <row r="111" spans="1:13" s="74" customFormat="1" ht="12.75">
      <c r="A111" s="86" t="s">
        <v>718</v>
      </c>
      <c r="B111" s="83" t="s">
        <v>713</v>
      </c>
      <c r="C111" s="80">
        <v>58489</v>
      </c>
      <c r="D111" s="81">
        <v>30726.28</v>
      </c>
      <c r="E111" s="81">
        <v>4425.7</v>
      </c>
      <c r="F111" s="81">
        <v>126</v>
      </c>
      <c r="G111" s="81">
        <v>180</v>
      </c>
      <c r="H111" s="81">
        <v>3135</v>
      </c>
      <c r="I111" s="81">
        <v>38592.98</v>
      </c>
      <c r="J111" s="81">
        <v>0</v>
      </c>
      <c r="K111" s="81">
        <v>38592.98</v>
      </c>
      <c r="L111" s="81">
        <v>0</v>
      </c>
      <c r="M111" s="81">
        <v>38592.98</v>
      </c>
    </row>
    <row r="112" spans="1:13" s="74" customFormat="1" ht="12.75">
      <c r="A112" s="86" t="s">
        <v>718</v>
      </c>
      <c r="B112" s="83" t="s">
        <v>714</v>
      </c>
      <c r="C112" s="80">
        <v>61269</v>
      </c>
      <c r="D112" s="81">
        <v>39778.132999999994</v>
      </c>
      <c r="E112" s="81">
        <v>4961.7</v>
      </c>
      <c r="F112" s="81">
        <v>342.2903225806452</v>
      </c>
      <c r="G112" s="81">
        <v>180</v>
      </c>
      <c r="H112" s="81">
        <v>3135</v>
      </c>
      <c r="I112" s="81">
        <v>48397.123322580635</v>
      </c>
      <c r="J112" s="81">
        <v>1108.2941240870966</v>
      </c>
      <c r="K112" s="81">
        <v>49505.41744666773</v>
      </c>
      <c r="L112" s="81">
        <v>0</v>
      </c>
      <c r="M112" s="81">
        <v>49505.41744666773</v>
      </c>
    </row>
    <row r="113" spans="1:13" s="74" customFormat="1" ht="12.75">
      <c r="A113" s="86" t="s">
        <v>718</v>
      </c>
      <c r="B113" s="83" t="s">
        <v>747</v>
      </c>
      <c r="C113" s="80">
        <f>D15+I15</f>
        <v>81365</v>
      </c>
      <c r="D113" s="81">
        <f>C15+L15</f>
        <v>53320.966739</v>
      </c>
      <c r="E113" s="81">
        <f>E15</f>
        <v>7141.26</v>
      </c>
      <c r="F113" s="81">
        <f>+H15+J15+K15</f>
        <v>0</v>
      </c>
      <c r="G113" s="81">
        <f>F15</f>
        <v>180</v>
      </c>
      <c r="H113" s="81">
        <f>G15</f>
        <v>3135</v>
      </c>
      <c r="I113" s="81">
        <f>SUM(D113:H113)</f>
        <v>63777.226739000005</v>
      </c>
      <c r="J113" s="81">
        <v>0</v>
      </c>
      <c r="K113" s="81">
        <f>I113+J113</f>
        <v>63777.226739000005</v>
      </c>
      <c r="L113" s="81">
        <v>0</v>
      </c>
      <c r="M113" s="81">
        <f>K113+L113</f>
        <v>63777.226739000005</v>
      </c>
    </row>
    <row r="114" spans="1:13" s="74" customFormat="1" ht="12.75">
      <c r="A114" s="86"/>
      <c r="B114" s="83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3:13" s="74" customFormat="1" ht="12.75"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4" s="74" customFormat="1" ht="12.75">
      <c r="A116" s="86" t="s">
        <v>719</v>
      </c>
      <c r="B116" s="89" t="s">
        <v>710</v>
      </c>
      <c r="C116" s="87">
        <v>3003111</v>
      </c>
      <c r="D116" s="88">
        <v>969192.5829999998</v>
      </c>
      <c r="E116" s="88">
        <v>104469.23</v>
      </c>
      <c r="F116" s="88">
        <v>76879.85</v>
      </c>
      <c r="G116" s="88">
        <v>33150</v>
      </c>
      <c r="H116" s="88">
        <v>523273.8</v>
      </c>
      <c r="I116" s="88">
        <v>1706965.4629999998</v>
      </c>
      <c r="J116" s="88">
        <v>64489.15519214</v>
      </c>
      <c r="K116" s="88">
        <v>1771454.6181921395</v>
      </c>
      <c r="L116" s="88">
        <v>105090.24785713988</v>
      </c>
      <c r="M116" s="88">
        <v>1876544.8660492795</v>
      </c>
      <c r="N116" s="90">
        <v>241.14</v>
      </c>
    </row>
    <row r="117" spans="1:14" s="74" customFormat="1" ht="12.75">
      <c r="A117" s="86" t="s">
        <v>719</v>
      </c>
      <c r="B117" s="82" t="s">
        <v>711</v>
      </c>
      <c r="C117" s="87">
        <v>2825777</v>
      </c>
      <c r="D117" s="88">
        <v>877985.2525599999</v>
      </c>
      <c r="E117" s="88">
        <v>106032.85</v>
      </c>
      <c r="F117" s="88">
        <v>83062.49327272727</v>
      </c>
      <c r="G117" s="88">
        <v>33165</v>
      </c>
      <c r="H117" s="88">
        <v>528718.4</v>
      </c>
      <c r="I117" s="88">
        <v>1628963.9958327273</v>
      </c>
      <c r="J117" s="88">
        <v>78630.09207884576</v>
      </c>
      <c r="K117" s="88">
        <v>1707594.0879115728</v>
      </c>
      <c r="L117" s="88">
        <v>-19164</v>
      </c>
      <c r="M117" s="88">
        <v>1688430.0879115728</v>
      </c>
      <c r="N117" s="90">
        <v>188.82799999999997</v>
      </c>
    </row>
    <row r="118" spans="1:14" s="74" customFormat="1" ht="12.75">
      <c r="A118" s="86" t="s">
        <v>719</v>
      </c>
      <c r="B118" s="82" t="s">
        <v>712</v>
      </c>
      <c r="C118" s="87">
        <v>1654845</v>
      </c>
      <c r="D118" s="88">
        <v>715810.97</v>
      </c>
      <c r="E118" s="88">
        <v>96460.92</v>
      </c>
      <c r="F118" s="88">
        <v>49299.02</v>
      </c>
      <c r="G118" s="88">
        <v>32205</v>
      </c>
      <c r="H118" s="88">
        <v>538192.6</v>
      </c>
      <c r="I118" s="88">
        <v>1431968.51</v>
      </c>
      <c r="J118" s="88">
        <v>32505.685176999992</v>
      </c>
      <c r="K118" s="88">
        <v>1464474.1951769998</v>
      </c>
      <c r="L118" s="88">
        <v>-532</v>
      </c>
      <c r="M118" s="88">
        <v>1463942.1951769998</v>
      </c>
      <c r="N118" s="90">
        <v>179.3975333333333</v>
      </c>
    </row>
    <row r="119" spans="1:14" s="74" customFormat="1" ht="12.75">
      <c r="A119" s="86" t="s">
        <v>719</v>
      </c>
      <c r="B119" s="82" t="s">
        <v>713</v>
      </c>
      <c r="C119" s="87">
        <v>1600785</v>
      </c>
      <c r="D119" s="88">
        <v>668442.87</v>
      </c>
      <c r="E119" s="88">
        <v>92790.71</v>
      </c>
      <c r="F119" s="88">
        <v>47536.81830967742</v>
      </c>
      <c r="G119" s="88">
        <v>29970</v>
      </c>
      <c r="H119" s="88">
        <v>556738.4489699999</v>
      </c>
      <c r="I119" s="88">
        <v>1395478.8472796772</v>
      </c>
      <c r="J119" s="88">
        <v>0</v>
      </c>
      <c r="K119" s="88">
        <v>1395478.8472796772</v>
      </c>
      <c r="L119" s="88">
        <v>86673</v>
      </c>
      <c r="M119" s="88">
        <v>1482151.8472796772</v>
      </c>
      <c r="N119" s="90">
        <v>177.58802199999997</v>
      </c>
    </row>
    <row r="120" spans="1:14" s="74" customFormat="1" ht="12.75">
      <c r="A120" s="86" t="s">
        <v>719</v>
      </c>
      <c r="B120" s="82" t="s">
        <v>714</v>
      </c>
      <c r="C120" s="87">
        <v>1624105</v>
      </c>
      <c r="D120" s="88">
        <v>711791.67</v>
      </c>
      <c r="E120" s="88">
        <v>98243.02</v>
      </c>
      <c r="F120" s="88">
        <v>63610.67548387096</v>
      </c>
      <c r="G120" s="88">
        <v>30090</v>
      </c>
      <c r="H120" s="88">
        <v>552094.3949004</v>
      </c>
      <c r="I120" s="88">
        <v>1455829.7603842714</v>
      </c>
      <c r="J120" s="88">
        <v>1108.2941240870966</v>
      </c>
      <c r="K120" s="88">
        <v>1456938.0545083585</v>
      </c>
      <c r="L120" s="88">
        <v>0</v>
      </c>
      <c r="M120" s="88">
        <v>1456938.0545083585</v>
      </c>
      <c r="N120" s="90">
        <v>176.10666504</v>
      </c>
    </row>
    <row r="121" spans="1:14" s="74" customFormat="1" ht="12.75">
      <c r="A121" s="86" t="s">
        <v>719</v>
      </c>
      <c r="B121" s="82" t="s">
        <v>747</v>
      </c>
      <c r="C121" s="87">
        <f aca="true" t="shared" si="4" ref="C121:H121">C42+C50+C58+C66+C75+C81+C89+C97+C105+C113</f>
        <v>1755102</v>
      </c>
      <c r="D121" s="88">
        <f t="shared" si="4"/>
        <v>618776.6734335999</v>
      </c>
      <c r="E121" s="88">
        <f t="shared" si="4"/>
        <v>96368.04</v>
      </c>
      <c r="F121" s="88">
        <f t="shared" si="4"/>
        <v>241174.4</v>
      </c>
      <c r="G121" s="88">
        <f t="shared" si="4"/>
        <v>30345</v>
      </c>
      <c r="H121" s="88">
        <f t="shared" si="4"/>
        <v>551383.7999999999</v>
      </c>
      <c r="I121" s="88">
        <f>SUM(D121:H121)</f>
        <v>1538047.9134335998</v>
      </c>
      <c r="J121" s="88">
        <v>0</v>
      </c>
      <c r="K121" s="88">
        <f>I121+J121</f>
        <v>1538047.9134335998</v>
      </c>
      <c r="L121" s="88">
        <v>0</v>
      </c>
      <c r="M121" s="88">
        <f>K121+L121</f>
        <v>1538047.9134335998</v>
      </c>
      <c r="N121" s="90">
        <f>G17</f>
        <v>175.87999999999997</v>
      </c>
    </row>
    <row r="122" s="74" customFormat="1" ht="12">
      <c r="H122" s="91"/>
    </row>
    <row r="123" s="74" customFormat="1" ht="12">
      <c r="H123" s="91"/>
    </row>
    <row r="124" spans="1:9" s="74" customFormat="1" ht="12">
      <c r="A124" s="183" t="s">
        <v>748</v>
      </c>
      <c r="B124" s="183"/>
      <c r="C124" s="183"/>
      <c r="D124" s="183"/>
      <c r="I124" s="134" t="s">
        <v>749</v>
      </c>
    </row>
    <row r="125" spans="1:12" s="74" customFormat="1" ht="12">
      <c r="A125" s="183" t="s">
        <v>721</v>
      </c>
      <c r="B125" s="183"/>
      <c r="C125" s="183"/>
      <c r="D125" s="183"/>
      <c r="F125" s="134" t="s">
        <v>735</v>
      </c>
      <c r="G125" s="134" t="s">
        <v>722</v>
      </c>
      <c r="H125" s="134" t="s">
        <v>750</v>
      </c>
      <c r="I125" s="134" t="s">
        <v>751</v>
      </c>
      <c r="K125" s="83"/>
      <c r="L125" s="92"/>
    </row>
    <row r="126" spans="1:16" s="74" customFormat="1" ht="13.5" thickBot="1">
      <c r="A126" s="93"/>
      <c r="F126" s="94">
        <v>3000</v>
      </c>
      <c r="G126" s="94">
        <v>3135</v>
      </c>
      <c r="H126" s="94">
        <v>3135</v>
      </c>
      <c r="I126" s="94">
        <v>0</v>
      </c>
      <c r="J126" s="95">
        <v>0.0229</v>
      </c>
      <c r="K126" s="96"/>
      <c r="L126" s="97"/>
      <c r="O126" s="85"/>
      <c r="P126" s="85"/>
    </row>
    <row r="127" spans="1:16" s="74" customFormat="1" ht="12.75">
      <c r="A127" s="70"/>
      <c r="B127" s="71"/>
      <c r="C127" s="72" t="s">
        <v>695</v>
      </c>
      <c r="D127" s="72" t="s">
        <v>53</v>
      </c>
      <c r="E127" s="72" t="s">
        <v>696</v>
      </c>
      <c r="F127" s="72" t="s">
        <v>697</v>
      </c>
      <c r="G127" s="72" t="s">
        <v>56</v>
      </c>
      <c r="H127" s="72" t="s">
        <v>592</v>
      </c>
      <c r="I127" s="72" t="s">
        <v>689</v>
      </c>
      <c r="J127" s="73" t="s">
        <v>698</v>
      </c>
      <c r="K127" s="73" t="s">
        <v>689</v>
      </c>
      <c r="L127" s="73" t="s">
        <v>723</v>
      </c>
      <c r="M127" s="73" t="s">
        <v>724</v>
      </c>
      <c r="N127" s="73" t="s">
        <v>725</v>
      </c>
      <c r="O127" s="98"/>
      <c r="P127" s="99"/>
    </row>
    <row r="128" spans="1:16" s="74" customFormat="1" ht="12.75" thickBot="1">
      <c r="A128" s="75" t="s">
        <v>701</v>
      </c>
      <c r="B128" s="75"/>
      <c r="C128" s="76" t="s">
        <v>702</v>
      </c>
      <c r="D128" s="76" t="s">
        <v>703</v>
      </c>
      <c r="E128" s="76" t="s">
        <v>703</v>
      </c>
      <c r="F128" s="76" t="s">
        <v>703</v>
      </c>
      <c r="G128" s="76" t="s">
        <v>704</v>
      </c>
      <c r="H128" s="76" t="s">
        <v>704</v>
      </c>
      <c r="I128" s="77" t="s">
        <v>703</v>
      </c>
      <c r="J128" s="78" t="s">
        <v>705</v>
      </c>
      <c r="K128" s="78" t="s">
        <v>706</v>
      </c>
      <c r="L128" s="78" t="s">
        <v>726</v>
      </c>
      <c r="M128" s="78" t="s">
        <v>727</v>
      </c>
      <c r="N128" s="78" t="s">
        <v>586</v>
      </c>
      <c r="O128" s="100"/>
      <c r="P128" s="101"/>
    </row>
    <row r="129" spans="1:16" s="74" customFormat="1" ht="12">
      <c r="A129" s="82" t="s">
        <v>118</v>
      </c>
      <c r="B129" s="83" t="s">
        <v>714</v>
      </c>
      <c r="C129" s="102">
        <v>9996</v>
      </c>
      <c r="D129" s="102">
        <v>5577.445</v>
      </c>
      <c r="E129" s="92">
        <v>835.36</v>
      </c>
      <c r="F129" s="90">
        <v>351.8709677419355</v>
      </c>
      <c r="G129" s="92">
        <v>1830</v>
      </c>
      <c r="H129" s="103">
        <v>8843.835000000001</v>
      </c>
      <c r="I129" s="104">
        <v>17438.51096774194</v>
      </c>
      <c r="J129" s="105"/>
      <c r="K129" s="104">
        <v>17438.51096774194</v>
      </c>
      <c r="L129" s="103"/>
      <c r="M129" s="106">
        <v>17438.51096774194</v>
      </c>
      <c r="N129" s="107">
        <v>2.821</v>
      </c>
      <c r="O129" s="108"/>
      <c r="P129" s="85"/>
    </row>
    <row r="130" spans="1:16" s="74" customFormat="1" ht="12">
      <c r="A130" s="82" t="s">
        <v>238</v>
      </c>
      <c r="B130" s="83" t="s">
        <v>714</v>
      </c>
      <c r="C130" s="102">
        <v>143434</v>
      </c>
      <c r="D130" s="102">
        <v>64684.513000000006</v>
      </c>
      <c r="E130" s="92">
        <v>12394.04</v>
      </c>
      <c r="F130" s="90">
        <v>3998.438709677419</v>
      </c>
      <c r="G130" s="92">
        <v>585</v>
      </c>
      <c r="H130" s="103">
        <v>59251.5</v>
      </c>
      <c r="I130" s="104">
        <v>140913.49170967744</v>
      </c>
      <c r="J130" s="105"/>
      <c r="K130" s="104">
        <v>140913.49170967744</v>
      </c>
      <c r="L130" s="103"/>
      <c r="M130" s="106">
        <v>140913.49170967744</v>
      </c>
      <c r="N130" s="107">
        <v>18.9</v>
      </c>
      <c r="O130" s="109"/>
      <c r="P130" s="110"/>
    </row>
    <row r="131" spans="1:16" s="74" customFormat="1" ht="12">
      <c r="A131" s="82" t="s">
        <v>78</v>
      </c>
      <c r="B131" s="83" t="s">
        <v>714</v>
      </c>
      <c r="C131" s="102">
        <v>153671</v>
      </c>
      <c r="D131" s="102">
        <v>85581.92900000002</v>
      </c>
      <c r="E131" s="92">
        <v>12420.92</v>
      </c>
      <c r="F131" s="90">
        <v>2887.5716129032257</v>
      </c>
      <c r="G131" s="92">
        <v>3585</v>
      </c>
      <c r="H131" s="103">
        <v>30729.27</v>
      </c>
      <c r="I131" s="104">
        <v>135204.69061290324</v>
      </c>
      <c r="J131" s="105"/>
      <c r="K131" s="104">
        <v>135204.69061290324</v>
      </c>
      <c r="L131" s="103"/>
      <c r="M131" s="106">
        <v>135204.69061290324</v>
      </c>
      <c r="N131" s="107">
        <v>9.802</v>
      </c>
      <c r="O131" s="109"/>
      <c r="P131" s="110"/>
    </row>
    <row r="132" spans="1:16" s="74" customFormat="1" ht="12">
      <c r="A132" s="82" t="s">
        <v>709</v>
      </c>
      <c r="B132" s="83" t="s">
        <v>714</v>
      </c>
      <c r="C132" s="102">
        <v>6640</v>
      </c>
      <c r="D132" s="102">
        <v>3282.09</v>
      </c>
      <c r="E132" s="92">
        <v>519.58</v>
      </c>
      <c r="F132" s="90">
        <v>207</v>
      </c>
      <c r="G132" s="92">
        <v>360</v>
      </c>
      <c r="H132" s="103">
        <v>2664.75</v>
      </c>
      <c r="I132" s="104">
        <v>7033.42</v>
      </c>
      <c r="J132" s="105"/>
      <c r="K132" s="104">
        <v>7033.42</v>
      </c>
      <c r="L132" s="103"/>
      <c r="M132" s="106">
        <v>7033.42</v>
      </c>
      <c r="N132" s="107">
        <v>0.85</v>
      </c>
      <c r="O132" s="109"/>
      <c r="P132" s="110"/>
    </row>
    <row r="133" spans="1:16" s="74" customFormat="1" ht="12">
      <c r="A133" s="82" t="s">
        <v>68</v>
      </c>
      <c r="B133" s="83" t="s">
        <v>714</v>
      </c>
      <c r="C133" s="102">
        <v>212454</v>
      </c>
      <c r="D133" s="102">
        <v>87742.079</v>
      </c>
      <c r="E133" s="92">
        <v>15706.42</v>
      </c>
      <c r="F133" s="90">
        <v>6223.44806451613</v>
      </c>
      <c r="G133" s="92">
        <v>12210</v>
      </c>
      <c r="H133" s="103">
        <v>233484.34490040003</v>
      </c>
      <c r="I133" s="104">
        <v>355366.29196491616</v>
      </c>
      <c r="J133" s="105"/>
      <c r="K133" s="104">
        <v>355366.29196491616</v>
      </c>
      <c r="L133" s="103"/>
      <c r="M133" s="106">
        <v>355366.29196491616</v>
      </c>
      <c r="N133" s="107">
        <v>74.47666504000001</v>
      </c>
      <c r="O133" s="109"/>
      <c r="P133" s="111"/>
    </row>
    <row r="134" spans="1:16" s="74" customFormat="1" ht="12">
      <c r="A134" s="82" t="s">
        <v>147</v>
      </c>
      <c r="B134" s="83" t="s">
        <v>714</v>
      </c>
      <c r="C134" s="102">
        <v>124978</v>
      </c>
      <c r="D134" s="102">
        <v>46341.914</v>
      </c>
      <c r="E134" s="92">
        <v>11240.36</v>
      </c>
      <c r="F134" s="90">
        <v>11614.086451612904</v>
      </c>
      <c r="G134" s="92">
        <v>3510</v>
      </c>
      <c r="H134" s="103">
        <v>66317.163</v>
      </c>
      <c r="I134" s="104">
        <v>139023.5234516129</v>
      </c>
      <c r="J134" s="105"/>
      <c r="K134" s="104">
        <v>139023.5234516129</v>
      </c>
      <c r="L134" s="103"/>
      <c r="M134" s="106">
        <v>139023.5234516129</v>
      </c>
      <c r="N134" s="107">
        <v>21.1538</v>
      </c>
      <c r="O134" s="108"/>
      <c r="P134" s="110"/>
    </row>
    <row r="135" spans="1:16" s="74" customFormat="1" ht="12">
      <c r="A135" s="82" t="s">
        <v>271</v>
      </c>
      <c r="B135" s="83" t="s">
        <v>714</v>
      </c>
      <c r="C135" s="102">
        <v>63245</v>
      </c>
      <c r="D135" s="102">
        <v>24803.898000000005</v>
      </c>
      <c r="E135" s="92">
        <v>5778.08</v>
      </c>
      <c r="F135" s="90">
        <v>1486.6722580645162</v>
      </c>
      <c r="G135" s="92">
        <v>1560</v>
      </c>
      <c r="H135" s="103">
        <v>47293.983</v>
      </c>
      <c r="I135" s="104">
        <v>80922.63325806451</v>
      </c>
      <c r="J135" s="105"/>
      <c r="K135" s="104">
        <v>80922.63325806451</v>
      </c>
      <c r="L135" s="103"/>
      <c r="M135" s="106">
        <v>80922.63325806451</v>
      </c>
      <c r="N135" s="107">
        <v>15.0858</v>
      </c>
      <c r="O135" s="108"/>
      <c r="P135" s="110"/>
    </row>
    <row r="136" spans="1:16" s="74" customFormat="1" ht="12">
      <c r="A136" s="82" t="s">
        <v>716</v>
      </c>
      <c r="B136" s="83" t="s">
        <v>714</v>
      </c>
      <c r="C136" s="102">
        <v>406</v>
      </c>
      <c r="D136" s="102">
        <v>632.3929999999999</v>
      </c>
      <c r="E136" s="92">
        <v>24.34</v>
      </c>
      <c r="F136" s="90">
        <v>788.2722580645161</v>
      </c>
      <c r="G136" s="92">
        <v>180</v>
      </c>
      <c r="H136" s="103">
        <v>6270</v>
      </c>
      <c r="I136" s="104">
        <v>7895.005258064516</v>
      </c>
      <c r="J136" s="105"/>
      <c r="K136" s="104">
        <v>7895.005258064516</v>
      </c>
      <c r="L136" s="103"/>
      <c r="M136" s="106">
        <v>7895.005258064516</v>
      </c>
      <c r="N136" s="107">
        <v>2</v>
      </c>
      <c r="O136" s="109"/>
      <c r="P136" s="110"/>
    </row>
    <row r="137" spans="1:16" s="74" customFormat="1" ht="12">
      <c r="A137" s="82" t="s">
        <v>3</v>
      </c>
      <c r="B137" s="83" t="s">
        <v>714</v>
      </c>
      <c r="C137" s="112">
        <v>158533</v>
      </c>
      <c r="D137" s="135">
        <v>44165.451</v>
      </c>
      <c r="E137" s="92">
        <v>5405.21</v>
      </c>
      <c r="F137" s="90">
        <v>149.99225806451614</v>
      </c>
      <c r="G137" s="92">
        <v>1860</v>
      </c>
      <c r="H137" s="103">
        <v>25080</v>
      </c>
      <c r="I137" s="104">
        <v>76660.65325806451</v>
      </c>
      <c r="J137" s="113"/>
      <c r="K137" s="104">
        <v>76660.65325806451</v>
      </c>
      <c r="L137" s="103"/>
      <c r="M137" s="106">
        <v>76660.65325806451</v>
      </c>
      <c r="N137" s="107">
        <v>8</v>
      </c>
      <c r="O137" s="108"/>
      <c r="P137" s="110"/>
    </row>
    <row r="138" spans="1:16" s="74" customFormat="1" ht="12">
      <c r="A138" s="82" t="s">
        <v>58</v>
      </c>
      <c r="B138" s="83" t="s">
        <v>714</v>
      </c>
      <c r="C138" s="112">
        <v>689479</v>
      </c>
      <c r="D138" s="135">
        <v>309201.8250000001</v>
      </c>
      <c r="E138" s="92">
        <v>28957.01</v>
      </c>
      <c r="F138" s="90">
        <v>35561.03258064516</v>
      </c>
      <c r="G138" s="92">
        <v>4230</v>
      </c>
      <c r="H138" s="103">
        <v>69024.549</v>
      </c>
      <c r="I138" s="104">
        <v>446974.4165806453</v>
      </c>
      <c r="J138" s="113"/>
      <c r="K138" s="104">
        <v>446974.4165806453</v>
      </c>
      <c r="L138" s="103"/>
      <c r="M138" s="106">
        <v>446974.4165806453</v>
      </c>
      <c r="N138" s="107">
        <v>22.0174</v>
      </c>
      <c r="O138" s="108"/>
      <c r="P138" s="110"/>
    </row>
    <row r="139" spans="1:16" s="74" customFormat="1" ht="12.75" thickBot="1">
      <c r="A139" s="82" t="s">
        <v>428</v>
      </c>
      <c r="B139" s="83" t="s">
        <v>714</v>
      </c>
      <c r="C139" s="114">
        <v>61269</v>
      </c>
      <c r="D139" s="92">
        <v>39778.132999999994</v>
      </c>
      <c r="E139" s="92">
        <v>4961.7</v>
      </c>
      <c r="F139" s="90">
        <v>342.2903225806452</v>
      </c>
      <c r="G139" s="115">
        <v>180</v>
      </c>
      <c r="H139" s="115">
        <v>3135</v>
      </c>
      <c r="I139" s="116">
        <v>48397.123322580635</v>
      </c>
      <c r="J139" s="105">
        <v>1108.2941240870966</v>
      </c>
      <c r="K139" s="104">
        <v>49505.41744666773</v>
      </c>
      <c r="L139" s="115"/>
      <c r="M139" s="106">
        <v>49505.41744666773</v>
      </c>
      <c r="N139" s="107">
        <v>1</v>
      </c>
      <c r="O139" s="109" t="s">
        <v>752</v>
      </c>
      <c r="P139" s="108"/>
    </row>
    <row r="140" spans="3:16" s="74" customFormat="1" ht="12">
      <c r="C140" s="117">
        <v>1624105</v>
      </c>
      <c r="D140" s="118">
        <v>711791.67</v>
      </c>
      <c r="E140" s="118">
        <v>98243.02</v>
      </c>
      <c r="F140" s="118">
        <v>63610.67548387097</v>
      </c>
      <c r="G140" s="118">
        <v>30090</v>
      </c>
      <c r="H140" s="118">
        <v>552094.3949004</v>
      </c>
      <c r="I140" s="119">
        <v>1455829.7603842712</v>
      </c>
      <c r="J140" s="119">
        <v>1108.2941240870966</v>
      </c>
      <c r="K140" s="119">
        <v>1456938.0545083582</v>
      </c>
      <c r="L140" s="119">
        <v>0</v>
      </c>
      <c r="M140" s="119">
        <v>1456938.0545083582</v>
      </c>
      <c r="N140" s="120">
        <v>176.10666504000002</v>
      </c>
      <c r="O140" s="121"/>
      <c r="P140" s="121"/>
    </row>
    <row r="141" spans="4:16" s="74" customFormat="1" ht="12">
      <c r="D141" s="92"/>
      <c r="F141" s="92"/>
      <c r="H141" s="107">
        <v>176.10666504</v>
      </c>
      <c r="I141" s="122"/>
      <c r="J141" s="104">
        <v>1108.2941240870966</v>
      </c>
      <c r="M141" s="83"/>
      <c r="O141" s="85"/>
      <c r="P141" s="123"/>
    </row>
    <row r="142" spans="8:9" s="74" customFormat="1" ht="12">
      <c r="H142" s="124" t="s">
        <v>730</v>
      </c>
      <c r="I142" s="92"/>
    </row>
    <row r="143" spans="1:13" s="74" customFormat="1" ht="12">
      <c r="A143" s="182" t="s">
        <v>753</v>
      </c>
      <c r="B143" s="182"/>
      <c r="C143" s="125">
        <v>160</v>
      </c>
      <c r="D143" s="135">
        <v>136.258</v>
      </c>
      <c r="E143" s="103">
        <v>12.68</v>
      </c>
      <c r="F143" s="103">
        <v>7710.665806451613</v>
      </c>
      <c r="G143" s="103">
        <v>195</v>
      </c>
      <c r="H143" s="103">
        <v>7022.4</v>
      </c>
      <c r="I143" s="126">
        <v>15077.003806451614</v>
      </c>
      <c r="J143" s="103"/>
      <c r="K143" s="103">
        <v>15077.003806451614</v>
      </c>
      <c r="L143" s="104"/>
      <c r="M143" s="104">
        <v>15077.003806451614</v>
      </c>
    </row>
    <row r="144" spans="1:13" s="74" customFormat="1" ht="12">
      <c r="A144" s="181" t="s">
        <v>754</v>
      </c>
      <c r="B144" s="181"/>
      <c r="C144" s="125">
        <v>1624265</v>
      </c>
      <c r="D144" s="126">
        <v>711927.9280000002</v>
      </c>
      <c r="E144" s="126">
        <v>98255.7</v>
      </c>
      <c r="F144" s="126">
        <v>71321.34129032258</v>
      </c>
      <c r="G144" s="126">
        <v>30285</v>
      </c>
      <c r="H144" s="126">
        <v>559116.7949004</v>
      </c>
      <c r="I144" s="126">
        <v>1470906.7641907227</v>
      </c>
      <c r="J144" s="103">
        <v>1108.2941240870966</v>
      </c>
      <c r="K144" s="103">
        <v>1472015.0583148098</v>
      </c>
      <c r="L144" s="104"/>
      <c r="M144" s="104">
        <v>1472015.0583148098</v>
      </c>
    </row>
    <row r="145" spans="8:9" s="74" customFormat="1" ht="12">
      <c r="H145" s="107">
        <v>178.34666504</v>
      </c>
      <c r="I145" s="127" t="s">
        <v>733</v>
      </c>
    </row>
    <row r="146" s="74" customFormat="1" ht="12">
      <c r="H146" s="91"/>
    </row>
    <row r="147" s="74" customFormat="1" ht="12">
      <c r="A147" s="82" t="s">
        <v>720</v>
      </c>
    </row>
    <row r="148" spans="1:12" s="74" customFormat="1" ht="12">
      <c r="A148" s="82" t="s">
        <v>721</v>
      </c>
      <c r="H148" s="83" t="s">
        <v>722</v>
      </c>
      <c r="K148" s="83"/>
      <c r="L148" s="92"/>
    </row>
    <row r="149" spans="1:16" s="74" customFormat="1" ht="13.5" thickBot="1">
      <c r="A149" s="93"/>
      <c r="H149" s="94">
        <v>3135</v>
      </c>
      <c r="J149" s="95">
        <v>0</v>
      </c>
      <c r="K149" s="96"/>
      <c r="L149" s="97"/>
      <c r="O149" s="85"/>
      <c r="P149" s="85"/>
    </row>
    <row r="150" spans="1:16" s="74" customFormat="1" ht="12.75">
      <c r="A150" s="70"/>
      <c r="B150" s="71"/>
      <c r="C150" s="72" t="s">
        <v>695</v>
      </c>
      <c r="D150" s="72" t="s">
        <v>53</v>
      </c>
      <c r="E150" s="72" t="s">
        <v>696</v>
      </c>
      <c r="F150" s="72" t="s">
        <v>697</v>
      </c>
      <c r="G150" s="72" t="s">
        <v>56</v>
      </c>
      <c r="H150" s="72" t="s">
        <v>592</v>
      </c>
      <c r="I150" s="72" t="s">
        <v>689</v>
      </c>
      <c r="J150" s="73" t="s">
        <v>698</v>
      </c>
      <c r="K150" s="73" t="s">
        <v>689</v>
      </c>
      <c r="L150" s="73" t="s">
        <v>723</v>
      </c>
      <c r="M150" s="73" t="s">
        <v>724</v>
      </c>
      <c r="N150" s="73" t="s">
        <v>725</v>
      </c>
      <c r="O150" s="98"/>
      <c r="P150" s="99"/>
    </row>
    <row r="151" spans="1:16" s="74" customFormat="1" ht="12.75" thickBot="1">
      <c r="A151" s="75" t="s">
        <v>701</v>
      </c>
      <c r="B151" s="75"/>
      <c r="C151" s="76" t="s">
        <v>702</v>
      </c>
      <c r="D151" s="76" t="s">
        <v>703</v>
      </c>
      <c r="E151" s="76" t="s">
        <v>703</v>
      </c>
      <c r="F151" s="76" t="s">
        <v>703</v>
      </c>
      <c r="G151" s="76" t="s">
        <v>704</v>
      </c>
      <c r="H151" s="76" t="s">
        <v>704</v>
      </c>
      <c r="I151" s="77" t="s">
        <v>703</v>
      </c>
      <c r="J151" s="78" t="s">
        <v>705</v>
      </c>
      <c r="K151" s="78" t="s">
        <v>706</v>
      </c>
      <c r="L151" s="78" t="s">
        <v>726</v>
      </c>
      <c r="M151" s="78" t="s">
        <v>727</v>
      </c>
      <c r="N151" s="78" t="s">
        <v>586</v>
      </c>
      <c r="O151" s="100"/>
      <c r="P151" s="101"/>
    </row>
    <row r="152" spans="1:16" s="74" customFormat="1" ht="12">
      <c r="A152" s="82" t="s">
        <v>728</v>
      </c>
      <c r="B152" s="83" t="s">
        <v>713</v>
      </c>
      <c r="C152" s="102">
        <v>11004</v>
      </c>
      <c r="D152" s="92">
        <v>6680.37</v>
      </c>
      <c r="E152" s="92">
        <v>887.34</v>
      </c>
      <c r="F152" s="90">
        <v>189</v>
      </c>
      <c r="G152" s="92">
        <v>1680</v>
      </c>
      <c r="H152" s="103">
        <v>8843.835</v>
      </c>
      <c r="I152" s="104">
        <v>18280.545000000002</v>
      </c>
      <c r="J152" s="105">
        <v>0</v>
      </c>
      <c r="K152" s="104">
        <v>18280.545000000002</v>
      </c>
      <c r="L152" s="103">
        <v>3500</v>
      </c>
      <c r="M152" s="106">
        <v>21780.545000000002</v>
      </c>
      <c r="N152" s="107">
        <v>2.8209999999999997</v>
      </c>
      <c r="O152" s="108"/>
      <c r="P152" s="85"/>
    </row>
    <row r="153" spans="1:16" s="74" customFormat="1" ht="12">
      <c r="A153" s="82" t="s">
        <v>238</v>
      </c>
      <c r="B153" s="83" t="s">
        <v>713</v>
      </c>
      <c r="C153" s="102">
        <v>134393</v>
      </c>
      <c r="D153" s="92">
        <v>57974.57</v>
      </c>
      <c r="E153" s="92">
        <v>11393.14</v>
      </c>
      <c r="F153" s="90">
        <v>2205</v>
      </c>
      <c r="G153" s="92">
        <v>570</v>
      </c>
      <c r="H153" s="103">
        <v>59251.5</v>
      </c>
      <c r="I153" s="104">
        <v>131394.21</v>
      </c>
      <c r="J153" s="105">
        <v>0</v>
      </c>
      <c r="K153" s="104">
        <v>131394.21</v>
      </c>
      <c r="L153" s="103">
        <v>62189</v>
      </c>
      <c r="M153" s="106">
        <v>193583.21</v>
      </c>
      <c r="N153" s="107">
        <v>18.9</v>
      </c>
      <c r="O153" s="109"/>
      <c r="P153" s="110"/>
    </row>
    <row r="154" spans="1:16" s="74" customFormat="1" ht="12">
      <c r="A154" s="82" t="s">
        <v>78</v>
      </c>
      <c r="B154" s="83" t="s">
        <v>713</v>
      </c>
      <c r="C154" s="102">
        <v>216447</v>
      </c>
      <c r="D154" s="92">
        <v>85702.66</v>
      </c>
      <c r="E154" s="92">
        <v>13724.11</v>
      </c>
      <c r="F154" s="90">
        <v>1636.9539</v>
      </c>
      <c r="G154" s="92">
        <v>3750</v>
      </c>
      <c r="H154" s="103">
        <v>30196.32</v>
      </c>
      <c r="I154" s="104">
        <v>135010.04389999996</v>
      </c>
      <c r="J154" s="105">
        <v>0</v>
      </c>
      <c r="K154" s="104">
        <v>135010.04389999996</v>
      </c>
      <c r="L154" s="103">
        <v>33963</v>
      </c>
      <c r="M154" s="106">
        <v>168973.04389999996</v>
      </c>
      <c r="N154" s="107">
        <v>9.632</v>
      </c>
      <c r="O154" s="109"/>
      <c r="P154" s="110"/>
    </row>
    <row r="155" spans="1:16" s="74" customFormat="1" ht="12">
      <c r="A155" s="82" t="s">
        <v>709</v>
      </c>
      <c r="B155" s="83" t="s">
        <v>713</v>
      </c>
      <c r="C155" s="102">
        <v>7421</v>
      </c>
      <c r="D155" s="92">
        <v>3710.33</v>
      </c>
      <c r="E155" s="92">
        <v>571.96</v>
      </c>
      <c r="F155" s="90">
        <v>141.75</v>
      </c>
      <c r="G155" s="92">
        <v>360</v>
      </c>
      <c r="H155" s="103">
        <v>2664.75</v>
      </c>
      <c r="I155" s="104">
        <v>7448.79</v>
      </c>
      <c r="J155" s="105">
        <v>0</v>
      </c>
      <c r="K155" s="104">
        <v>7448.79</v>
      </c>
      <c r="L155" s="103">
        <v>0</v>
      </c>
      <c r="M155" s="106">
        <v>7448.79</v>
      </c>
      <c r="N155" s="107">
        <v>0.85</v>
      </c>
      <c r="O155" s="109"/>
      <c r="P155" s="110"/>
    </row>
    <row r="156" spans="1:16" s="74" customFormat="1" ht="12">
      <c r="A156" s="82" t="s">
        <v>68</v>
      </c>
      <c r="B156" s="83" t="s">
        <v>713</v>
      </c>
      <c r="C156" s="102">
        <v>199202</v>
      </c>
      <c r="D156" s="92">
        <v>92537.72000000006</v>
      </c>
      <c r="E156" s="92">
        <v>15172.57</v>
      </c>
      <c r="F156" s="90">
        <v>4661.695161290323</v>
      </c>
      <c r="G156" s="92">
        <v>12630</v>
      </c>
      <c r="H156" s="103">
        <v>238661.34896999993</v>
      </c>
      <c r="I156" s="104">
        <v>363663.3341312903</v>
      </c>
      <c r="J156" s="105">
        <v>0</v>
      </c>
      <c r="K156" s="104">
        <v>363663.3341312903</v>
      </c>
      <c r="L156" s="103">
        <v>-54021</v>
      </c>
      <c r="M156" s="106">
        <v>309642.3341312903</v>
      </c>
      <c r="N156" s="107">
        <v>76.12802199999997</v>
      </c>
      <c r="O156" s="109"/>
      <c r="P156" s="111"/>
    </row>
    <row r="157" spans="1:16" s="74" customFormat="1" ht="12">
      <c r="A157" s="82" t="s">
        <v>147</v>
      </c>
      <c r="B157" s="83" t="s">
        <v>713</v>
      </c>
      <c r="C157" s="102">
        <v>116637</v>
      </c>
      <c r="D157" s="92">
        <v>44736.44</v>
      </c>
      <c r="E157" s="92">
        <v>9955.6</v>
      </c>
      <c r="F157" s="90">
        <v>5131.24</v>
      </c>
      <c r="G157" s="92">
        <v>3585</v>
      </c>
      <c r="H157" s="103">
        <v>66317.163</v>
      </c>
      <c r="I157" s="104">
        <v>129725.44299999997</v>
      </c>
      <c r="J157" s="105">
        <v>0</v>
      </c>
      <c r="K157" s="104">
        <v>129725.44299999997</v>
      </c>
      <c r="L157" s="103">
        <v>7822</v>
      </c>
      <c r="M157" s="106">
        <v>137547.44299999997</v>
      </c>
      <c r="N157" s="107">
        <v>21.1538</v>
      </c>
      <c r="O157" s="108"/>
      <c r="P157" s="110"/>
    </row>
    <row r="158" spans="1:16" s="74" customFormat="1" ht="12">
      <c r="A158" s="82" t="s">
        <v>271</v>
      </c>
      <c r="B158" s="83" t="s">
        <v>713</v>
      </c>
      <c r="C158" s="102">
        <v>82695</v>
      </c>
      <c r="D158" s="92">
        <v>33780.34</v>
      </c>
      <c r="E158" s="92">
        <v>6964.78</v>
      </c>
      <c r="F158" s="90">
        <v>929.4735483870968</v>
      </c>
      <c r="G158" s="92">
        <v>1425</v>
      </c>
      <c r="H158" s="103">
        <v>47293.983</v>
      </c>
      <c r="I158" s="104">
        <v>90393.5765483871</v>
      </c>
      <c r="J158" s="105">
        <v>0</v>
      </c>
      <c r="K158" s="104">
        <v>90393.5765483871</v>
      </c>
      <c r="L158" s="103">
        <v>29733</v>
      </c>
      <c r="M158" s="106">
        <v>120126.5765483871</v>
      </c>
      <c r="N158" s="107">
        <v>15.0858</v>
      </c>
      <c r="O158" s="108"/>
      <c r="P158" s="110"/>
    </row>
    <row r="159" spans="1:16" s="74" customFormat="1" ht="12">
      <c r="A159" s="82" t="s">
        <v>716</v>
      </c>
      <c r="B159" s="83" t="s">
        <v>713</v>
      </c>
      <c r="C159" s="102">
        <v>1817</v>
      </c>
      <c r="D159" s="92">
        <v>1004.11</v>
      </c>
      <c r="E159" s="92">
        <v>126.12</v>
      </c>
      <c r="F159" s="90">
        <v>472.5</v>
      </c>
      <c r="G159" s="92">
        <v>180</v>
      </c>
      <c r="H159" s="103">
        <v>6270</v>
      </c>
      <c r="I159" s="104">
        <v>8052.73</v>
      </c>
      <c r="J159" s="105">
        <v>0</v>
      </c>
      <c r="K159" s="104">
        <v>8052.73</v>
      </c>
      <c r="L159" s="103">
        <v>0</v>
      </c>
      <c r="M159" s="106">
        <v>8052.73</v>
      </c>
      <c r="N159" s="107">
        <v>2</v>
      </c>
      <c r="O159" s="109"/>
      <c r="P159" s="110"/>
    </row>
    <row r="160" spans="1:16" s="74" customFormat="1" ht="12">
      <c r="A160" s="82" t="s">
        <v>3</v>
      </c>
      <c r="B160" s="83" t="s">
        <v>713</v>
      </c>
      <c r="C160" s="112">
        <v>125478</v>
      </c>
      <c r="D160" s="92">
        <v>44456.48</v>
      </c>
      <c r="E160" s="92">
        <v>5399.97</v>
      </c>
      <c r="F160" s="90">
        <v>693</v>
      </c>
      <c r="G160" s="92">
        <v>1755</v>
      </c>
      <c r="H160" s="103">
        <v>25080</v>
      </c>
      <c r="I160" s="104">
        <v>77384.45</v>
      </c>
      <c r="J160" s="113">
        <v>0</v>
      </c>
      <c r="K160" s="104">
        <v>77384.45</v>
      </c>
      <c r="L160" s="103">
        <v>81</v>
      </c>
      <c r="M160" s="106">
        <v>77465.45</v>
      </c>
      <c r="N160" s="107">
        <v>8</v>
      </c>
      <c r="O160" s="108"/>
      <c r="P160" s="110"/>
    </row>
    <row r="161" spans="1:16" s="74" customFormat="1" ht="12">
      <c r="A161" s="82" t="s">
        <v>58</v>
      </c>
      <c r="B161" s="83" t="s">
        <v>713</v>
      </c>
      <c r="C161" s="112">
        <v>647202</v>
      </c>
      <c r="D161" s="92">
        <v>267133.57</v>
      </c>
      <c r="E161" s="92">
        <v>24169.42</v>
      </c>
      <c r="F161" s="90">
        <v>31350.2057</v>
      </c>
      <c r="G161" s="92">
        <v>3855</v>
      </c>
      <c r="H161" s="103">
        <v>69024.549</v>
      </c>
      <c r="I161" s="104">
        <v>395532.7447</v>
      </c>
      <c r="J161" s="113">
        <v>0</v>
      </c>
      <c r="K161" s="104">
        <v>395532.7447</v>
      </c>
      <c r="L161" s="103">
        <v>3406</v>
      </c>
      <c r="M161" s="106">
        <v>398938.7447</v>
      </c>
      <c r="N161" s="107">
        <v>22.0174</v>
      </c>
      <c r="O161" s="108"/>
      <c r="P161" s="110"/>
    </row>
    <row r="162" spans="1:16" s="74" customFormat="1" ht="12.75" thickBot="1">
      <c r="A162" s="82" t="s">
        <v>729</v>
      </c>
      <c r="B162" s="83" t="s">
        <v>713</v>
      </c>
      <c r="C162" s="114">
        <v>58489</v>
      </c>
      <c r="D162" s="92">
        <v>30726.28</v>
      </c>
      <c r="E162" s="92">
        <v>4425.7</v>
      </c>
      <c r="F162" s="90">
        <v>126</v>
      </c>
      <c r="G162" s="115">
        <v>180</v>
      </c>
      <c r="H162" s="115">
        <v>3135</v>
      </c>
      <c r="I162" s="116">
        <v>38592.98</v>
      </c>
      <c r="J162" s="105">
        <v>0</v>
      </c>
      <c r="K162" s="104">
        <v>38592.98</v>
      </c>
      <c r="L162" s="115">
        <v>0</v>
      </c>
      <c r="M162" s="106">
        <v>38592.98</v>
      </c>
      <c r="N162" s="107">
        <v>1</v>
      </c>
      <c r="O162" s="108"/>
      <c r="P162" s="110"/>
    </row>
    <row r="163" spans="3:16" s="74" customFormat="1" ht="12">
      <c r="C163" s="117">
        <v>1600785</v>
      </c>
      <c r="D163" s="118">
        <v>668442.87</v>
      </c>
      <c r="E163" s="118">
        <v>92790.71</v>
      </c>
      <c r="F163" s="118">
        <v>47536.818309677416</v>
      </c>
      <c r="G163" s="118">
        <v>29970</v>
      </c>
      <c r="H163" s="118">
        <v>556738.44897</v>
      </c>
      <c r="I163" s="119">
        <v>1395478.8472796772</v>
      </c>
      <c r="J163" s="119">
        <v>0</v>
      </c>
      <c r="K163" s="119">
        <v>1395478.8472796772</v>
      </c>
      <c r="L163" s="119">
        <v>86673</v>
      </c>
      <c r="M163" s="119">
        <v>1482151.8472796772</v>
      </c>
      <c r="N163" s="120">
        <v>177.58802199999997</v>
      </c>
      <c r="O163" s="121"/>
      <c r="P163" s="121"/>
    </row>
    <row r="164" spans="4:16" s="74" customFormat="1" ht="12">
      <c r="D164" s="92"/>
      <c r="F164" s="92"/>
      <c r="H164" s="107">
        <v>177.588022</v>
      </c>
      <c r="I164" s="122"/>
      <c r="J164" s="104">
        <v>0</v>
      </c>
      <c r="M164" s="83"/>
      <c r="O164" s="85"/>
      <c r="P164" s="123"/>
    </row>
    <row r="165" spans="8:9" s="74" customFormat="1" ht="12">
      <c r="H165" s="124" t="s">
        <v>730</v>
      </c>
      <c r="I165" s="92"/>
    </row>
    <row r="166" spans="1:13" s="74" customFormat="1" ht="12">
      <c r="A166" s="83" t="s">
        <v>731</v>
      </c>
      <c r="C166" s="125">
        <v>117</v>
      </c>
      <c r="D166" s="103">
        <v>87.1</v>
      </c>
      <c r="E166" s="103">
        <v>7.34</v>
      </c>
      <c r="F166" s="103">
        <v>6851.25</v>
      </c>
      <c r="G166" s="103">
        <v>150</v>
      </c>
      <c r="H166" s="103">
        <v>7022.4</v>
      </c>
      <c r="I166" s="126">
        <v>14118.09</v>
      </c>
      <c r="J166" s="103">
        <v>0</v>
      </c>
      <c r="K166" s="103">
        <v>14118.09</v>
      </c>
      <c r="L166" s="104"/>
      <c r="M166" s="104">
        <v>14118.09</v>
      </c>
    </row>
    <row r="167" spans="1:13" s="74" customFormat="1" ht="12">
      <c r="A167" s="127" t="s">
        <v>732</v>
      </c>
      <c r="C167" s="125">
        <v>1600902</v>
      </c>
      <c r="D167" s="103">
        <v>668529.97</v>
      </c>
      <c r="E167" s="103">
        <v>92798.05</v>
      </c>
      <c r="F167" s="103">
        <v>54388.068309677416</v>
      </c>
      <c r="G167" s="103">
        <v>30120</v>
      </c>
      <c r="H167" s="103">
        <v>563760.84897</v>
      </c>
      <c r="I167" s="126">
        <v>1409596.9372796773</v>
      </c>
      <c r="J167" s="103">
        <v>0</v>
      </c>
      <c r="K167" s="103">
        <v>1409596.9372796773</v>
      </c>
      <c r="L167" s="104"/>
      <c r="M167" s="104">
        <v>1409596.9372796773</v>
      </c>
    </row>
    <row r="168" spans="8:9" s="74" customFormat="1" ht="12">
      <c r="H168" s="107">
        <v>179.828022</v>
      </c>
      <c r="I168" s="127" t="s">
        <v>733</v>
      </c>
    </row>
    <row r="169" s="74" customFormat="1" ht="12">
      <c r="A169" s="82" t="s">
        <v>734</v>
      </c>
    </row>
    <row r="170" spans="1:12" s="74" customFormat="1" ht="12">
      <c r="A170" s="82" t="s">
        <v>721</v>
      </c>
      <c r="H170" s="83" t="s">
        <v>735</v>
      </c>
      <c r="K170" s="83"/>
      <c r="L170" s="92"/>
    </row>
    <row r="171" spans="1:16" s="74" customFormat="1" ht="13.5" thickBot="1">
      <c r="A171" s="93"/>
      <c r="H171" s="94">
        <v>3000</v>
      </c>
      <c r="J171" s="95">
        <v>0.0227</v>
      </c>
      <c r="K171" s="96"/>
      <c r="L171" s="97"/>
      <c r="O171" s="85"/>
      <c r="P171" s="85"/>
    </row>
    <row r="172" spans="1:16" s="74" customFormat="1" ht="12.75">
      <c r="A172" s="70"/>
      <c r="B172" s="71"/>
      <c r="C172" s="72" t="s">
        <v>695</v>
      </c>
      <c r="D172" s="72" t="s">
        <v>53</v>
      </c>
      <c r="E172" s="72" t="s">
        <v>696</v>
      </c>
      <c r="F172" s="72" t="s">
        <v>697</v>
      </c>
      <c r="G172" s="72" t="s">
        <v>56</v>
      </c>
      <c r="H172" s="72" t="s">
        <v>592</v>
      </c>
      <c r="I172" s="72" t="s">
        <v>689</v>
      </c>
      <c r="J172" s="73" t="s">
        <v>698</v>
      </c>
      <c r="K172" s="73" t="s">
        <v>689</v>
      </c>
      <c r="L172" s="73" t="s">
        <v>723</v>
      </c>
      <c r="M172" s="73" t="s">
        <v>724</v>
      </c>
      <c r="N172" s="73" t="s">
        <v>725</v>
      </c>
      <c r="O172" s="98"/>
      <c r="P172" s="99"/>
    </row>
    <row r="173" spans="1:16" s="74" customFormat="1" ht="12.75" thickBot="1">
      <c r="A173" s="75" t="s">
        <v>701</v>
      </c>
      <c r="B173" s="75"/>
      <c r="C173" s="76" t="s">
        <v>702</v>
      </c>
      <c r="D173" s="76" t="s">
        <v>703</v>
      </c>
      <c r="E173" s="76" t="s">
        <v>703</v>
      </c>
      <c r="F173" s="76" t="s">
        <v>703</v>
      </c>
      <c r="G173" s="76" t="s">
        <v>704</v>
      </c>
      <c r="H173" s="76" t="s">
        <v>704</v>
      </c>
      <c r="I173" s="77" t="s">
        <v>703</v>
      </c>
      <c r="J173" s="78" t="s">
        <v>705</v>
      </c>
      <c r="K173" s="78" t="s">
        <v>706</v>
      </c>
      <c r="L173" s="78" t="s">
        <v>726</v>
      </c>
      <c r="M173" s="78" t="s">
        <v>727</v>
      </c>
      <c r="N173" s="78" t="s">
        <v>586</v>
      </c>
      <c r="O173" s="100"/>
      <c r="P173" s="101"/>
    </row>
    <row r="174" spans="1:16" s="74" customFormat="1" ht="12">
      <c r="A174" s="82" t="s">
        <v>728</v>
      </c>
      <c r="B174" s="83" t="s">
        <v>712</v>
      </c>
      <c r="C174" s="102">
        <v>14068</v>
      </c>
      <c r="D174" s="128">
        <v>8757.69</v>
      </c>
      <c r="E174" s="92">
        <v>1086.41</v>
      </c>
      <c r="F174" s="92">
        <v>456.75</v>
      </c>
      <c r="G174" s="92">
        <v>1755</v>
      </c>
      <c r="H174" s="103">
        <v>8472</v>
      </c>
      <c r="I174" s="104">
        <v>20527.85</v>
      </c>
      <c r="J174" s="105">
        <v>465.982195</v>
      </c>
      <c r="K174" s="104">
        <v>20993.832195</v>
      </c>
      <c r="L174" s="104">
        <v>3324</v>
      </c>
      <c r="M174" s="106">
        <v>24317.832195</v>
      </c>
      <c r="N174" s="107">
        <v>2.824</v>
      </c>
      <c r="O174" s="108"/>
      <c r="P174" s="85"/>
    </row>
    <row r="175" spans="1:16" s="74" customFormat="1" ht="12">
      <c r="A175" s="82" t="s">
        <v>238</v>
      </c>
      <c r="B175" s="83" t="s">
        <v>712</v>
      </c>
      <c r="C175" s="102">
        <v>135896</v>
      </c>
      <c r="D175" s="128">
        <v>60943.12</v>
      </c>
      <c r="E175" s="92">
        <v>10641.54</v>
      </c>
      <c r="F175" s="92">
        <v>2346.75</v>
      </c>
      <c r="G175" s="92">
        <v>690</v>
      </c>
      <c r="H175" s="103">
        <v>56700</v>
      </c>
      <c r="I175" s="104">
        <v>131321.41</v>
      </c>
      <c r="J175" s="105">
        <v>2980.996007</v>
      </c>
      <c r="K175" s="104">
        <v>134302.406007</v>
      </c>
      <c r="L175" s="104">
        <v>1734</v>
      </c>
      <c r="M175" s="106">
        <v>136036.406007</v>
      </c>
      <c r="N175" s="107">
        <v>18.9</v>
      </c>
      <c r="O175" s="109"/>
      <c r="P175" s="110"/>
    </row>
    <row r="176" spans="1:16" s="74" customFormat="1" ht="12">
      <c r="A176" s="82" t="s">
        <v>736</v>
      </c>
      <c r="B176" s="83" t="s">
        <v>712</v>
      </c>
      <c r="C176" s="102">
        <v>264131</v>
      </c>
      <c r="D176" s="128">
        <v>106234.76</v>
      </c>
      <c r="E176" s="92">
        <v>14048.09</v>
      </c>
      <c r="F176" s="92">
        <v>2425.5</v>
      </c>
      <c r="G176" s="92">
        <v>3780</v>
      </c>
      <c r="H176" s="103">
        <v>28896</v>
      </c>
      <c r="I176" s="104">
        <v>155384.35</v>
      </c>
      <c r="J176" s="105">
        <v>3527.2247449999995</v>
      </c>
      <c r="K176" s="104">
        <v>158911.574745</v>
      </c>
      <c r="L176" s="104">
        <v>4826</v>
      </c>
      <c r="M176" s="106">
        <v>163737.574745</v>
      </c>
      <c r="N176" s="107">
        <v>9.632</v>
      </c>
      <c r="O176" s="109"/>
      <c r="P176" s="110"/>
    </row>
    <row r="177" spans="1:16" s="74" customFormat="1" ht="12">
      <c r="A177" s="82" t="s">
        <v>737</v>
      </c>
      <c r="B177" s="83" t="s">
        <v>712</v>
      </c>
      <c r="C177" s="102">
        <v>11533</v>
      </c>
      <c r="D177" s="128">
        <v>5611.44</v>
      </c>
      <c r="E177" s="92">
        <v>931.43</v>
      </c>
      <c r="F177" s="92">
        <v>189</v>
      </c>
      <c r="G177" s="92">
        <v>360</v>
      </c>
      <c r="H177" s="103">
        <v>2550</v>
      </c>
      <c r="I177" s="104">
        <v>9641.87</v>
      </c>
      <c r="J177" s="105">
        <v>218.87044899999998</v>
      </c>
      <c r="K177" s="104">
        <v>9860.740448999999</v>
      </c>
      <c r="L177" s="104">
        <v>221</v>
      </c>
      <c r="M177" s="106">
        <v>10081.740448999999</v>
      </c>
      <c r="N177" s="107">
        <v>0.85</v>
      </c>
      <c r="O177" s="109"/>
      <c r="P177" s="110"/>
    </row>
    <row r="178" spans="1:16" s="74" customFormat="1" ht="12">
      <c r="A178" s="82" t="s">
        <v>68</v>
      </c>
      <c r="B178" s="83" t="s">
        <v>712</v>
      </c>
      <c r="C178" s="102">
        <v>208647</v>
      </c>
      <c r="D178" s="128">
        <v>95752.98999999986</v>
      </c>
      <c r="E178" s="92">
        <v>15593.47</v>
      </c>
      <c r="F178" s="92">
        <v>5212.05</v>
      </c>
      <c r="G178" s="92">
        <v>13530</v>
      </c>
      <c r="H178" s="103">
        <v>230806.6</v>
      </c>
      <c r="I178" s="104">
        <v>360895.11</v>
      </c>
      <c r="J178" s="105">
        <v>8192.318996999997</v>
      </c>
      <c r="K178" s="104">
        <v>369087.42899699986</v>
      </c>
      <c r="L178" s="104">
        <v>-11582</v>
      </c>
      <c r="M178" s="106">
        <v>357505.42899699986</v>
      </c>
      <c r="N178" s="107">
        <v>76.93553333333334</v>
      </c>
      <c r="O178" s="109"/>
      <c r="P178" s="111"/>
    </row>
    <row r="179" spans="1:16" s="74" customFormat="1" ht="12">
      <c r="A179" s="82" t="s">
        <v>147</v>
      </c>
      <c r="B179" s="83" t="s">
        <v>712</v>
      </c>
      <c r="C179" s="102">
        <v>120469</v>
      </c>
      <c r="D179" s="128">
        <v>46454.56</v>
      </c>
      <c r="E179" s="92">
        <v>10509.91</v>
      </c>
      <c r="F179" s="92">
        <v>6619.39</v>
      </c>
      <c r="G179" s="92">
        <v>3810</v>
      </c>
      <c r="H179" s="103">
        <v>66462</v>
      </c>
      <c r="I179" s="104">
        <v>133855.86</v>
      </c>
      <c r="J179" s="105">
        <v>3038.528022</v>
      </c>
      <c r="K179" s="104">
        <v>136894.388022</v>
      </c>
      <c r="L179" s="104">
        <v>-3998</v>
      </c>
      <c r="M179" s="106">
        <v>132896.388022</v>
      </c>
      <c r="N179" s="107">
        <v>22.154</v>
      </c>
      <c r="O179" s="108"/>
      <c r="P179" s="110"/>
    </row>
    <row r="180" spans="1:16" s="74" customFormat="1" ht="12">
      <c r="A180" s="82" t="s">
        <v>271</v>
      </c>
      <c r="B180" s="83" t="s">
        <v>712</v>
      </c>
      <c r="C180" s="102">
        <v>68866</v>
      </c>
      <c r="D180" s="128">
        <v>28948.43</v>
      </c>
      <c r="E180" s="92">
        <v>5710.39</v>
      </c>
      <c r="F180" s="92">
        <v>1653.75</v>
      </c>
      <c r="G180" s="92">
        <v>1725</v>
      </c>
      <c r="H180" s="103">
        <v>48258</v>
      </c>
      <c r="I180" s="104">
        <v>86295.57</v>
      </c>
      <c r="J180" s="105">
        <v>1958.9094390000002</v>
      </c>
      <c r="K180" s="104">
        <v>88254.479439</v>
      </c>
      <c r="L180" s="104">
        <v>-17527</v>
      </c>
      <c r="M180" s="106">
        <v>70727.479439</v>
      </c>
      <c r="N180" s="107">
        <v>16.086</v>
      </c>
      <c r="O180" s="108"/>
      <c r="P180" s="110"/>
    </row>
    <row r="181" spans="1:16" s="74" customFormat="1" ht="12">
      <c r="A181" s="82" t="s">
        <v>716</v>
      </c>
      <c r="B181" s="83" t="s">
        <v>712</v>
      </c>
      <c r="C181" s="102">
        <v>607</v>
      </c>
      <c r="D181" s="128">
        <v>900</v>
      </c>
      <c r="E181" s="92">
        <v>37.3</v>
      </c>
      <c r="F181" s="92">
        <v>409.5</v>
      </c>
      <c r="G181" s="92">
        <v>180</v>
      </c>
      <c r="H181" s="103">
        <v>6000</v>
      </c>
      <c r="I181" s="104">
        <v>7526.8</v>
      </c>
      <c r="J181" s="105">
        <v>170.85836</v>
      </c>
      <c r="K181" s="104">
        <v>7697.65836</v>
      </c>
      <c r="L181" s="104">
        <v>93</v>
      </c>
      <c r="M181" s="106">
        <v>7790.65836</v>
      </c>
      <c r="N181" s="107">
        <v>2</v>
      </c>
      <c r="O181" s="109"/>
      <c r="P181" s="110"/>
    </row>
    <row r="182" spans="1:16" s="74" customFormat="1" ht="12">
      <c r="A182" s="82" t="s">
        <v>3</v>
      </c>
      <c r="B182" s="83" t="s">
        <v>712</v>
      </c>
      <c r="C182" s="112">
        <v>129023</v>
      </c>
      <c r="D182" s="129">
        <v>50306.95</v>
      </c>
      <c r="E182" s="92">
        <v>6839.58</v>
      </c>
      <c r="F182" s="92">
        <v>787.7</v>
      </c>
      <c r="G182" s="92">
        <v>1950</v>
      </c>
      <c r="H182" s="103">
        <v>21000</v>
      </c>
      <c r="I182" s="104">
        <v>80884.23</v>
      </c>
      <c r="J182" s="113">
        <v>1836.072021</v>
      </c>
      <c r="K182" s="104">
        <v>82720.302021</v>
      </c>
      <c r="L182" s="104">
        <v>-399</v>
      </c>
      <c r="M182" s="106">
        <v>82321.302021</v>
      </c>
      <c r="N182" s="107">
        <v>7</v>
      </c>
      <c r="O182" s="108"/>
      <c r="P182" s="110"/>
    </row>
    <row r="183" spans="1:16" s="74" customFormat="1" ht="12">
      <c r="A183" s="82" t="s">
        <v>58</v>
      </c>
      <c r="B183" s="83" t="s">
        <v>712</v>
      </c>
      <c r="C183" s="112">
        <v>635725</v>
      </c>
      <c r="D183" s="129">
        <v>280206.22</v>
      </c>
      <c r="E183" s="92">
        <v>25642.09</v>
      </c>
      <c r="F183" s="92">
        <v>29198.63</v>
      </c>
      <c r="G183" s="92">
        <v>4245</v>
      </c>
      <c r="H183" s="103">
        <v>66048</v>
      </c>
      <c r="I183" s="104">
        <v>405339.94</v>
      </c>
      <c r="J183" s="113">
        <v>9201.216638</v>
      </c>
      <c r="K183" s="104">
        <v>414541.156638</v>
      </c>
      <c r="L183" s="104">
        <v>22776</v>
      </c>
      <c r="M183" s="106">
        <v>437317.156638</v>
      </c>
      <c r="N183" s="107">
        <v>22.016</v>
      </c>
      <c r="O183" s="108"/>
      <c r="P183" s="110"/>
    </row>
    <row r="184" spans="1:16" s="74" customFormat="1" ht="12.75" thickBot="1">
      <c r="A184" s="82" t="s">
        <v>729</v>
      </c>
      <c r="B184" s="83" t="s">
        <v>712</v>
      </c>
      <c r="C184" s="114">
        <v>65880</v>
      </c>
      <c r="D184" s="130">
        <v>31694.81</v>
      </c>
      <c r="E184" s="115">
        <v>5420.71</v>
      </c>
      <c r="F184" s="115">
        <v>0</v>
      </c>
      <c r="G184" s="115">
        <v>180</v>
      </c>
      <c r="H184" s="115">
        <v>3000</v>
      </c>
      <c r="I184" s="116">
        <v>40295.52</v>
      </c>
      <c r="J184" s="105">
        <v>914.7083040000001</v>
      </c>
      <c r="K184" s="104">
        <v>41210.228304000004</v>
      </c>
      <c r="L184" s="116"/>
      <c r="M184" s="106">
        <v>41210.228304000004</v>
      </c>
      <c r="N184" s="107">
        <v>1</v>
      </c>
      <c r="O184" s="108"/>
      <c r="P184" s="110"/>
    </row>
    <row r="185" spans="3:16" s="74" customFormat="1" ht="12">
      <c r="C185" s="117">
        <v>1654845</v>
      </c>
      <c r="D185" s="118">
        <v>715810.97</v>
      </c>
      <c r="E185" s="118">
        <v>96460.92</v>
      </c>
      <c r="F185" s="118">
        <v>49299.02</v>
      </c>
      <c r="G185" s="118">
        <v>32205</v>
      </c>
      <c r="H185" s="118">
        <v>538192.6</v>
      </c>
      <c r="I185" s="119">
        <v>1431968.51</v>
      </c>
      <c r="J185" s="119">
        <v>32505.685176999992</v>
      </c>
      <c r="K185" s="119">
        <v>1464474.1951769998</v>
      </c>
      <c r="L185" s="119">
        <v>-532</v>
      </c>
      <c r="M185" s="119">
        <v>1463942.1951769998</v>
      </c>
      <c r="N185" s="120">
        <v>179.3975333333333</v>
      </c>
      <c r="O185" s="121"/>
      <c r="P185" s="121"/>
    </row>
    <row r="186" spans="4:16" s="74" customFormat="1" ht="12">
      <c r="D186" s="92"/>
      <c r="F186" s="92"/>
      <c r="H186" s="107">
        <v>179.3975333333333</v>
      </c>
      <c r="I186" s="122"/>
      <c r="J186" s="104"/>
      <c r="M186" s="83"/>
      <c r="O186" s="85"/>
      <c r="P186" s="123"/>
    </row>
    <row r="187" spans="8:9" s="74" customFormat="1" ht="12">
      <c r="H187" s="124" t="s">
        <v>730</v>
      </c>
      <c r="I187" s="92"/>
    </row>
    <row r="188" s="74" customFormat="1" ht="12">
      <c r="A188" s="82" t="s">
        <v>738</v>
      </c>
    </row>
    <row r="189" spans="1:12" s="74" customFormat="1" ht="12">
      <c r="A189" s="82" t="s">
        <v>721</v>
      </c>
      <c r="H189" s="83" t="s">
        <v>739</v>
      </c>
      <c r="K189" s="83"/>
      <c r="L189" s="92"/>
    </row>
    <row r="190" spans="1:16" s="74" customFormat="1" ht="13.5" thickBot="1">
      <c r="A190" s="93"/>
      <c r="H190" s="94">
        <v>2800</v>
      </c>
      <c r="J190" s="95">
        <v>0.04827</v>
      </c>
      <c r="K190" s="96"/>
      <c r="L190" s="97"/>
      <c r="O190" s="85"/>
      <c r="P190" s="85"/>
    </row>
    <row r="191" spans="1:16" s="74" customFormat="1" ht="12.75">
      <c r="A191" s="70"/>
      <c r="B191" s="71"/>
      <c r="C191" s="72" t="s">
        <v>695</v>
      </c>
      <c r="D191" s="72" t="s">
        <v>53</v>
      </c>
      <c r="E191" s="72" t="s">
        <v>696</v>
      </c>
      <c r="F191" s="72" t="s">
        <v>697</v>
      </c>
      <c r="G191" s="72" t="s">
        <v>56</v>
      </c>
      <c r="H191" s="72" t="s">
        <v>592</v>
      </c>
      <c r="I191" s="72" t="s">
        <v>689</v>
      </c>
      <c r="J191" s="73" t="s">
        <v>698</v>
      </c>
      <c r="K191" s="73" t="s">
        <v>689</v>
      </c>
      <c r="L191" s="73" t="s">
        <v>723</v>
      </c>
      <c r="M191" s="73" t="s">
        <v>724</v>
      </c>
      <c r="N191" s="73" t="s">
        <v>725</v>
      </c>
      <c r="O191" s="98"/>
      <c r="P191" s="99"/>
    </row>
    <row r="192" spans="1:16" s="74" customFormat="1" ht="12.75" thickBot="1">
      <c r="A192" s="75" t="s">
        <v>701</v>
      </c>
      <c r="B192" s="75"/>
      <c r="C192" s="76" t="s">
        <v>702</v>
      </c>
      <c r="D192" s="76" t="s">
        <v>703</v>
      </c>
      <c r="E192" s="76" t="s">
        <v>703</v>
      </c>
      <c r="F192" s="76" t="s">
        <v>703</v>
      </c>
      <c r="G192" s="76" t="s">
        <v>704</v>
      </c>
      <c r="H192" s="76" t="s">
        <v>704</v>
      </c>
      <c r="I192" s="77" t="s">
        <v>703</v>
      </c>
      <c r="J192" s="78" t="s">
        <v>705</v>
      </c>
      <c r="K192" s="78" t="s">
        <v>706</v>
      </c>
      <c r="L192" s="78" t="s">
        <v>726</v>
      </c>
      <c r="M192" s="78" t="s">
        <v>727</v>
      </c>
      <c r="N192" s="78" t="s">
        <v>586</v>
      </c>
      <c r="O192" s="100"/>
      <c r="P192" s="101"/>
    </row>
    <row r="193" spans="1:16" s="74" customFormat="1" ht="12">
      <c r="A193" s="82" t="s">
        <v>728</v>
      </c>
      <c r="B193" s="83" t="s">
        <v>711</v>
      </c>
      <c r="C193" s="102">
        <v>18473</v>
      </c>
      <c r="D193" s="92">
        <v>8874.040240000002</v>
      </c>
      <c r="E193" s="92">
        <v>1131.59</v>
      </c>
      <c r="F193" s="92">
        <v>663.5712727272728</v>
      </c>
      <c r="G193" s="92">
        <v>2070</v>
      </c>
      <c r="H193" s="103">
        <v>11183.2</v>
      </c>
      <c r="I193" s="104">
        <v>23922.401512727276</v>
      </c>
      <c r="J193" s="105">
        <v>1154.7343210193455</v>
      </c>
      <c r="K193" s="104">
        <v>25077.135833746623</v>
      </c>
      <c r="L193" s="104">
        <v>-104</v>
      </c>
      <c r="M193" s="106">
        <v>24973.135833746623</v>
      </c>
      <c r="N193" s="107">
        <v>3.994</v>
      </c>
      <c r="O193" s="108"/>
      <c r="P193" s="85"/>
    </row>
    <row r="194" spans="1:16" s="74" customFormat="1" ht="12">
      <c r="A194" s="82" t="s">
        <v>238</v>
      </c>
      <c r="B194" s="83" t="s">
        <v>711</v>
      </c>
      <c r="C194" s="102">
        <v>137395</v>
      </c>
      <c r="D194" s="92">
        <v>63356.679360000024</v>
      </c>
      <c r="E194" s="92">
        <v>9978.65</v>
      </c>
      <c r="F194" s="92">
        <v>1298.8887272727275</v>
      </c>
      <c r="G194" s="92">
        <v>780</v>
      </c>
      <c r="H194" s="103">
        <v>52920</v>
      </c>
      <c r="I194" s="104">
        <v>128334.21808727276</v>
      </c>
      <c r="J194" s="105">
        <v>6194.692707072656</v>
      </c>
      <c r="K194" s="104">
        <v>134528.91079434543</v>
      </c>
      <c r="L194" s="104">
        <v>1298</v>
      </c>
      <c r="M194" s="106">
        <v>135826.91079434543</v>
      </c>
      <c r="N194" s="107">
        <v>18.9</v>
      </c>
      <c r="O194" s="109"/>
      <c r="P194" s="110"/>
    </row>
    <row r="195" spans="1:16" s="74" customFormat="1" ht="12">
      <c r="A195" s="82" t="s">
        <v>736</v>
      </c>
      <c r="B195" s="83" t="s">
        <v>711</v>
      </c>
      <c r="C195" s="102">
        <v>186446</v>
      </c>
      <c r="D195" s="92">
        <v>89996.65896000002</v>
      </c>
      <c r="E195" s="92">
        <v>12282.47</v>
      </c>
      <c r="F195" s="92">
        <v>4019.212</v>
      </c>
      <c r="G195" s="92">
        <v>4200</v>
      </c>
      <c r="H195" s="103">
        <v>41104</v>
      </c>
      <c r="I195" s="104">
        <v>151602.34096</v>
      </c>
      <c r="J195" s="105">
        <v>7317.8449981392005</v>
      </c>
      <c r="K195" s="104">
        <v>158920.1859581392</v>
      </c>
      <c r="L195" s="104">
        <v>1218</v>
      </c>
      <c r="M195" s="106">
        <v>160138.1859581392</v>
      </c>
      <c r="N195" s="107">
        <v>14.68</v>
      </c>
      <c r="O195" s="109"/>
      <c r="P195" s="110"/>
    </row>
    <row r="196" spans="1:16" s="74" customFormat="1" ht="12">
      <c r="A196" s="82" t="s">
        <v>737</v>
      </c>
      <c r="B196" s="83" t="s">
        <v>711</v>
      </c>
      <c r="C196" s="102">
        <v>8154</v>
      </c>
      <c r="D196" s="92">
        <v>4698.6128800000015</v>
      </c>
      <c r="E196" s="92">
        <v>658.64</v>
      </c>
      <c r="F196" s="92">
        <v>31</v>
      </c>
      <c r="G196" s="92">
        <v>360</v>
      </c>
      <c r="H196" s="103">
        <v>2800</v>
      </c>
      <c r="I196" s="104">
        <v>8548.252880000002</v>
      </c>
      <c r="J196" s="105">
        <v>412.6241665176001</v>
      </c>
      <c r="K196" s="104">
        <v>8960.877046517602</v>
      </c>
      <c r="L196" s="104">
        <v>-1484</v>
      </c>
      <c r="M196" s="106">
        <v>7476.877046517602</v>
      </c>
      <c r="N196" s="107">
        <v>1</v>
      </c>
      <c r="O196" s="109"/>
      <c r="P196" s="110"/>
    </row>
    <row r="197" spans="1:16" s="74" customFormat="1" ht="12">
      <c r="A197" s="82" t="s">
        <v>68</v>
      </c>
      <c r="B197" s="83" t="s">
        <v>711</v>
      </c>
      <c r="C197" s="102">
        <v>191584</v>
      </c>
      <c r="D197" s="92">
        <v>91089.95479999996</v>
      </c>
      <c r="E197" s="92">
        <v>14949.92</v>
      </c>
      <c r="F197" s="92">
        <v>8349.15218181818</v>
      </c>
      <c r="G197" s="92">
        <v>14460</v>
      </c>
      <c r="H197" s="103">
        <v>224184.8</v>
      </c>
      <c r="I197" s="104">
        <v>353033.8269818181</v>
      </c>
      <c r="J197" s="105">
        <v>17040.94282841236</v>
      </c>
      <c r="K197" s="104">
        <v>370074.7698102305</v>
      </c>
      <c r="L197" s="104">
        <v>-20908</v>
      </c>
      <c r="M197" s="104">
        <v>349166.7698102305</v>
      </c>
      <c r="N197" s="107">
        <v>80.06599999999999</v>
      </c>
      <c r="O197" s="109"/>
      <c r="P197" s="111"/>
    </row>
    <row r="198" spans="1:16" s="74" customFormat="1" ht="12">
      <c r="A198" s="82" t="s">
        <v>147</v>
      </c>
      <c r="B198" s="83" t="s">
        <v>711</v>
      </c>
      <c r="C198" s="102">
        <v>129129</v>
      </c>
      <c r="D198" s="92">
        <v>47407.73023999999</v>
      </c>
      <c r="E198" s="92">
        <v>11366.66</v>
      </c>
      <c r="F198" s="92">
        <v>9296.978909090909</v>
      </c>
      <c r="G198" s="92">
        <v>3855</v>
      </c>
      <c r="H198" s="103">
        <v>62960.8</v>
      </c>
      <c r="I198" s="104">
        <v>134887.16914909089</v>
      </c>
      <c r="J198" s="105">
        <v>6511.003654826617</v>
      </c>
      <c r="K198" s="104">
        <v>141398.1728039175</v>
      </c>
      <c r="L198" s="104">
        <v>-14205</v>
      </c>
      <c r="M198" s="106">
        <v>127193.17280391749</v>
      </c>
      <c r="N198" s="107">
        <v>22.486</v>
      </c>
      <c r="O198" s="108"/>
      <c r="P198" s="110"/>
    </row>
    <row r="199" spans="1:16" s="74" customFormat="1" ht="12">
      <c r="A199" s="82" t="s">
        <v>271</v>
      </c>
      <c r="B199" s="83" t="s">
        <v>711</v>
      </c>
      <c r="C199" s="102">
        <v>68269</v>
      </c>
      <c r="D199" s="92">
        <v>27761.98048</v>
      </c>
      <c r="E199" s="92">
        <v>6108.94</v>
      </c>
      <c r="F199" s="92">
        <v>1684.0552727272727</v>
      </c>
      <c r="G199" s="92">
        <v>1545</v>
      </c>
      <c r="H199" s="103">
        <v>42240.8</v>
      </c>
      <c r="I199" s="104">
        <v>79340.77575272728</v>
      </c>
      <c r="J199" s="105">
        <v>3829.779245584146</v>
      </c>
      <c r="K199" s="104">
        <v>83170.55499831142</v>
      </c>
      <c r="L199" s="104">
        <v>-5870</v>
      </c>
      <c r="M199" s="106">
        <v>77300.55499831142</v>
      </c>
      <c r="N199" s="107">
        <v>15.086</v>
      </c>
      <c r="O199" s="108"/>
      <c r="P199" s="110"/>
    </row>
    <row r="200" spans="1:16" s="74" customFormat="1" ht="12">
      <c r="A200" s="82" t="s">
        <v>716</v>
      </c>
      <c r="B200" s="83" t="s">
        <v>711</v>
      </c>
      <c r="C200" s="102">
        <v>3</v>
      </c>
      <c r="D200" s="92">
        <v>1.6328</v>
      </c>
      <c r="E200" s="92">
        <v>0.18</v>
      </c>
      <c r="F200" s="92">
        <v>162.76690909090908</v>
      </c>
      <c r="G200" s="92">
        <v>30</v>
      </c>
      <c r="H200" s="103">
        <v>5600</v>
      </c>
      <c r="I200" s="104">
        <v>5794.579709090909</v>
      </c>
      <c r="J200" s="105">
        <v>279.7043625578182</v>
      </c>
      <c r="K200" s="104">
        <v>6074.284071648727</v>
      </c>
      <c r="L200" s="104">
        <v>0</v>
      </c>
      <c r="M200" s="106">
        <v>6074.284071648727</v>
      </c>
      <c r="N200" s="107">
        <v>2</v>
      </c>
      <c r="O200" s="109"/>
      <c r="P200" s="110"/>
    </row>
    <row r="201" spans="1:16" s="74" customFormat="1" ht="12">
      <c r="A201" s="82" t="s">
        <v>715</v>
      </c>
      <c r="B201" s="83" t="s">
        <v>711</v>
      </c>
      <c r="C201" s="112">
        <v>2040835</v>
      </c>
      <c r="D201" s="92">
        <v>515411.67912</v>
      </c>
      <c r="E201" s="92">
        <v>45665.5</v>
      </c>
      <c r="F201" s="92">
        <v>57541.367999999995</v>
      </c>
      <c r="G201" s="92">
        <v>5685</v>
      </c>
      <c r="H201" s="103">
        <v>82924.8</v>
      </c>
      <c r="I201" s="104">
        <v>707228.34712</v>
      </c>
      <c r="J201" s="113">
        <v>34137.912315482405</v>
      </c>
      <c r="K201" s="104">
        <v>741366.2594354824</v>
      </c>
      <c r="L201" s="104">
        <v>20891</v>
      </c>
      <c r="M201" s="106">
        <v>762257.2594354824</v>
      </c>
      <c r="N201" s="107">
        <v>29.616</v>
      </c>
      <c r="O201" s="108"/>
      <c r="P201" s="110"/>
    </row>
    <row r="202" spans="1:16" s="74" customFormat="1" ht="12.75" thickBot="1">
      <c r="A202" s="82" t="s">
        <v>729</v>
      </c>
      <c r="B202" s="83" t="s">
        <v>711</v>
      </c>
      <c r="C202" s="114">
        <v>45489</v>
      </c>
      <c r="D202" s="92">
        <v>29386.28368</v>
      </c>
      <c r="E202" s="115">
        <v>3890.3</v>
      </c>
      <c r="F202" s="115">
        <v>15.5</v>
      </c>
      <c r="G202" s="115">
        <v>180</v>
      </c>
      <c r="H202" s="115">
        <v>2800</v>
      </c>
      <c r="I202" s="116">
        <v>36272.08368</v>
      </c>
      <c r="J202" s="105">
        <v>1750.8534792336002</v>
      </c>
      <c r="K202" s="104">
        <v>38022.9371592336</v>
      </c>
      <c r="L202" s="116"/>
      <c r="M202" s="106">
        <v>38022.9371592336</v>
      </c>
      <c r="N202" s="107">
        <v>1</v>
      </c>
      <c r="O202" s="108"/>
      <c r="P202" s="110"/>
    </row>
    <row r="203" spans="3:16" s="74" customFormat="1" ht="12">
      <c r="C203" s="117">
        <v>2825777</v>
      </c>
      <c r="D203" s="118">
        <v>877985.25256</v>
      </c>
      <c r="E203" s="118">
        <v>106032.85</v>
      </c>
      <c r="F203" s="118">
        <v>83062.49327272727</v>
      </c>
      <c r="G203" s="118">
        <v>33165</v>
      </c>
      <c r="H203" s="118">
        <v>528718.4</v>
      </c>
      <c r="I203" s="119">
        <v>1628963.995832727</v>
      </c>
      <c r="J203" s="119">
        <v>78630.09207884574</v>
      </c>
      <c r="K203" s="119">
        <v>1707594.087911573</v>
      </c>
      <c r="L203" s="119">
        <v>-19164</v>
      </c>
      <c r="M203" s="119">
        <v>1688430.087911573</v>
      </c>
      <c r="N203" s="120">
        <v>188.82799999999997</v>
      </c>
      <c r="O203" s="121"/>
      <c r="P203" s="121"/>
    </row>
    <row r="204" spans="4:16" s="74" customFormat="1" ht="12">
      <c r="D204" s="92"/>
      <c r="F204" s="92"/>
      <c r="H204" s="107">
        <v>188.82799999999997</v>
      </c>
      <c r="I204" s="122"/>
      <c r="J204" s="104">
        <v>78630.09207884574</v>
      </c>
      <c r="M204" s="83"/>
      <c r="O204" s="85"/>
      <c r="P204" s="123"/>
    </row>
    <row r="205" spans="8:9" s="74" customFormat="1" ht="12">
      <c r="H205" s="124" t="s">
        <v>730</v>
      </c>
      <c r="I205" s="92"/>
    </row>
    <row r="206" s="74" customFormat="1" ht="12">
      <c r="A206" s="82" t="s">
        <v>740</v>
      </c>
    </row>
    <row r="207" spans="1:12" s="74" customFormat="1" ht="12">
      <c r="A207" s="82" t="s">
        <v>721</v>
      </c>
      <c r="L207" s="92"/>
    </row>
    <row r="208" spans="1:12" s="74" customFormat="1" ht="15.75" thickBot="1">
      <c r="A208" s="93"/>
      <c r="H208" t="s">
        <v>741</v>
      </c>
      <c r="K208" s="95">
        <v>0.03778</v>
      </c>
      <c r="L208" s="97"/>
    </row>
    <row r="209" spans="1:16" s="74" customFormat="1" ht="12.75">
      <c r="A209" s="70"/>
      <c r="B209" s="71"/>
      <c r="C209" s="72" t="s">
        <v>695</v>
      </c>
      <c r="D209" s="72" t="s">
        <v>53</v>
      </c>
      <c r="E209" s="72" t="s">
        <v>696</v>
      </c>
      <c r="F209" s="72" t="s">
        <v>697</v>
      </c>
      <c r="G209" s="72" t="s">
        <v>56</v>
      </c>
      <c r="H209" s="72" t="s">
        <v>592</v>
      </c>
      <c r="I209" s="72" t="s">
        <v>689</v>
      </c>
      <c r="J209" s="73" t="s">
        <v>698</v>
      </c>
      <c r="K209" s="73" t="s">
        <v>689</v>
      </c>
      <c r="L209" s="73" t="s">
        <v>723</v>
      </c>
      <c r="M209" s="73" t="s">
        <v>724</v>
      </c>
      <c r="N209" s="73" t="s">
        <v>725</v>
      </c>
      <c r="O209" s="98"/>
      <c r="P209" s="99"/>
    </row>
    <row r="210" spans="1:16" s="74" customFormat="1" ht="12.75" thickBot="1">
      <c r="A210" s="75" t="s">
        <v>701</v>
      </c>
      <c r="B210" s="75"/>
      <c r="C210" s="76" t="s">
        <v>702</v>
      </c>
      <c r="D210" s="76" t="s">
        <v>703</v>
      </c>
      <c r="E210" s="76" t="s">
        <v>703</v>
      </c>
      <c r="F210" s="76" t="s">
        <v>703</v>
      </c>
      <c r="G210" s="76" t="s">
        <v>704</v>
      </c>
      <c r="H210" s="76" t="s">
        <v>704</v>
      </c>
      <c r="I210" s="77" t="s">
        <v>703</v>
      </c>
      <c r="J210" s="78" t="s">
        <v>705</v>
      </c>
      <c r="K210" s="78" t="s">
        <v>706</v>
      </c>
      <c r="L210" s="78" t="s">
        <v>726</v>
      </c>
      <c r="M210" s="78" t="s">
        <v>727</v>
      </c>
      <c r="N210" s="78" t="s">
        <v>586</v>
      </c>
      <c r="O210" s="100"/>
      <c r="P210" s="101"/>
    </row>
    <row r="211" spans="1:16" s="74" customFormat="1" ht="12">
      <c r="A211" s="82" t="s">
        <v>728</v>
      </c>
      <c r="B211" s="83" t="s">
        <v>710</v>
      </c>
      <c r="C211" s="90">
        <v>19116</v>
      </c>
      <c r="D211" s="90">
        <v>9076.304999999997</v>
      </c>
      <c r="E211" s="90">
        <v>1353.88</v>
      </c>
      <c r="F211" s="92">
        <v>330</v>
      </c>
      <c r="G211" s="92">
        <v>1905</v>
      </c>
      <c r="H211" s="103">
        <v>9548</v>
      </c>
      <c r="I211" s="92">
        <v>22213.184999999998</v>
      </c>
      <c r="J211" s="105">
        <v>839.2141293</v>
      </c>
      <c r="K211" s="104">
        <v>23052.399129299996</v>
      </c>
      <c r="L211" s="104">
        <v>-1605.3991292999963</v>
      </c>
      <c r="M211" s="104">
        <v>21447</v>
      </c>
      <c r="N211" s="107">
        <v>4.4</v>
      </c>
      <c r="O211" s="108"/>
      <c r="P211" s="85"/>
    </row>
    <row r="212" spans="1:16" s="74" customFormat="1" ht="12">
      <c r="A212" s="82" t="s">
        <v>238</v>
      </c>
      <c r="B212" s="83" t="s">
        <v>710</v>
      </c>
      <c r="C212" s="90">
        <v>143305</v>
      </c>
      <c r="D212" s="90">
        <v>59944.008000000016</v>
      </c>
      <c r="E212" s="92">
        <v>10437.57</v>
      </c>
      <c r="F212" s="92">
        <v>632.5</v>
      </c>
      <c r="G212" s="92">
        <v>735</v>
      </c>
      <c r="H212" s="103">
        <v>47523</v>
      </c>
      <c r="I212" s="92">
        <v>119272.07800000002</v>
      </c>
      <c r="J212" s="105">
        <v>4506.099106840001</v>
      </c>
      <c r="K212" s="104">
        <v>123778.17710684003</v>
      </c>
      <c r="L212" s="104">
        <v>-2253.1771068399976</v>
      </c>
      <c r="M212" s="104">
        <v>121525</v>
      </c>
      <c r="N212" s="107">
        <v>21.9</v>
      </c>
      <c r="O212" s="109" t="s">
        <v>742</v>
      </c>
      <c r="P212" s="110"/>
    </row>
    <row r="213" spans="1:16" s="74" customFormat="1" ht="12">
      <c r="A213" s="82" t="s">
        <v>736</v>
      </c>
      <c r="B213" s="83" t="s">
        <v>710</v>
      </c>
      <c r="C213" s="90">
        <v>224025</v>
      </c>
      <c r="D213" s="90">
        <v>110909.39699999997</v>
      </c>
      <c r="E213" s="90">
        <v>13249.81</v>
      </c>
      <c r="F213" s="92">
        <v>5533</v>
      </c>
      <c r="G213" s="92">
        <v>4500</v>
      </c>
      <c r="H213" s="103">
        <v>43052.8</v>
      </c>
      <c r="I213" s="92">
        <v>177245.00699999998</v>
      </c>
      <c r="J213" s="105">
        <v>6696.31636446</v>
      </c>
      <c r="K213" s="104">
        <v>183941.32336446</v>
      </c>
      <c r="L213" s="104">
        <v>-25439.323364459997</v>
      </c>
      <c r="M213" s="104">
        <v>158502</v>
      </c>
      <c r="N213" s="107">
        <v>19.84</v>
      </c>
      <c r="O213" s="109" t="s">
        <v>743</v>
      </c>
      <c r="P213" s="110"/>
    </row>
    <row r="214" spans="1:16" s="74" customFormat="1" ht="12">
      <c r="A214" s="82" t="s">
        <v>737</v>
      </c>
      <c r="B214" s="83" t="s">
        <v>710</v>
      </c>
      <c r="C214" s="90">
        <v>8084</v>
      </c>
      <c r="D214" s="90">
        <v>4745.833</v>
      </c>
      <c r="E214" s="90">
        <v>553.08</v>
      </c>
      <c r="F214" s="92">
        <v>137.5</v>
      </c>
      <c r="G214" s="92">
        <v>360</v>
      </c>
      <c r="H214" s="103">
        <v>2170</v>
      </c>
      <c r="I214" s="92">
        <v>7966.413</v>
      </c>
      <c r="J214" s="105">
        <v>300.97108314</v>
      </c>
      <c r="K214" s="104">
        <v>8267.38408314</v>
      </c>
      <c r="L214" s="104">
        <v>17.615916860000652</v>
      </c>
      <c r="M214" s="104">
        <v>8285</v>
      </c>
      <c r="N214" s="107">
        <v>1</v>
      </c>
      <c r="O214" s="109" t="s">
        <v>742</v>
      </c>
      <c r="P214" s="110"/>
    </row>
    <row r="215" spans="1:16" s="74" customFormat="1" ht="12">
      <c r="A215" s="82" t="s">
        <v>68</v>
      </c>
      <c r="B215" s="83" t="s">
        <v>710</v>
      </c>
      <c r="C215" s="90">
        <v>257374</v>
      </c>
      <c r="D215" s="90">
        <v>106670.20100000006</v>
      </c>
      <c r="E215" s="90">
        <v>16334.26</v>
      </c>
      <c r="F215" s="92">
        <v>1990.93</v>
      </c>
      <c r="G215" s="92">
        <v>14820</v>
      </c>
      <c r="H215" s="103">
        <v>241434.2</v>
      </c>
      <c r="I215" s="92">
        <v>381249.591</v>
      </c>
      <c r="J215" s="105">
        <v>14403.60954798</v>
      </c>
      <c r="K215" s="104">
        <v>395653.20054798</v>
      </c>
      <c r="L215" s="104">
        <v>-36792.20054798026</v>
      </c>
      <c r="M215" s="104">
        <v>358861</v>
      </c>
      <c r="N215" s="107">
        <v>111.26</v>
      </c>
      <c r="O215" s="109" t="s">
        <v>744</v>
      </c>
      <c r="P215" s="111"/>
    </row>
    <row r="216" spans="1:16" s="74" customFormat="1" ht="12">
      <c r="A216" s="82" t="s">
        <v>147</v>
      </c>
      <c r="B216" s="83" t="s">
        <v>710</v>
      </c>
      <c r="C216" s="90">
        <v>136849</v>
      </c>
      <c r="D216" s="90">
        <v>47466.33</v>
      </c>
      <c r="E216" s="90">
        <v>9496.93</v>
      </c>
      <c r="F216" s="92">
        <v>6179.94</v>
      </c>
      <c r="G216" s="92">
        <v>3495</v>
      </c>
      <c r="H216" s="103">
        <v>56602.28</v>
      </c>
      <c r="I216" s="92">
        <v>123240.48</v>
      </c>
      <c r="J216" s="105">
        <v>4656.025334399999</v>
      </c>
      <c r="K216" s="104">
        <v>127896.50533439998</v>
      </c>
      <c r="L216" s="104">
        <v>587.4946655999956</v>
      </c>
      <c r="M216" s="104">
        <v>128484</v>
      </c>
      <c r="N216" s="107">
        <v>26.083999999999993</v>
      </c>
      <c r="O216" s="108"/>
      <c r="P216" s="110"/>
    </row>
    <row r="217" spans="1:16" s="74" customFormat="1" ht="12">
      <c r="A217" s="82" t="s">
        <v>271</v>
      </c>
      <c r="B217" s="83" t="s">
        <v>710</v>
      </c>
      <c r="C217" s="90">
        <v>79819</v>
      </c>
      <c r="D217" s="90">
        <v>29136.927999999996</v>
      </c>
      <c r="E217" s="90">
        <v>6460.99</v>
      </c>
      <c r="F217" s="92">
        <v>1072.5</v>
      </c>
      <c r="G217" s="92">
        <v>1050</v>
      </c>
      <c r="H217" s="103">
        <v>41108.48</v>
      </c>
      <c r="I217" s="92">
        <v>78828.89799999999</v>
      </c>
      <c r="J217" s="105">
        <v>2978.1557664399998</v>
      </c>
      <c r="K217" s="104">
        <v>81807.05376643999</v>
      </c>
      <c r="L217" s="104">
        <v>-0.05376644000352826</v>
      </c>
      <c r="M217" s="104">
        <v>81807</v>
      </c>
      <c r="N217" s="107">
        <v>18.944000000000003</v>
      </c>
      <c r="O217" s="108"/>
      <c r="P217" s="110"/>
    </row>
    <row r="218" spans="1:16" s="74" customFormat="1" ht="12">
      <c r="A218" s="82" t="s">
        <v>716</v>
      </c>
      <c r="B218" s="83" t="s">
        <v>710</v>
      </c>
      <c r="C218" s="90">
        <v>58</v>
      </c>
      <c r="D218" s="92">
        <v>26.575</v>
      </c>
      <c r="E218" s="92">
        <v>5.18</v>
      </c>
      <c r="F218" s="92">
        <v>110</v>
      </c>
      <c r="G218" s="92">
        <v>30</v>
      </c>
      <c r="H218" s="103">
        <v>4340</v>
      </c>
      <c r="I218" s="92">
        <v>4511.755</v>
      </c>
      <c r="J218" s="105">
        <v>170.4541039</v>
      </c>
      <c r="K218" s="104">
        <v>4682.2091039</v>
      </c>
      <c r="L218" s="104">
        <v>-0.20910389999971812</v>
      </c>
      <c r="M218" s="104">
        <v>4682</v>
      </c>
      <c r="N218" s="107">
        <v>2</v>
      </c>
      <c r="O218" s="109" t="s">
        <v>742</v>
      </c>
      <c r="P218" s="110"/>
    </row>
    <row r="219" spans="1:16" s="74" customFormat="1" ht="12">
      <c r="A219" s="82" t="s">
        <v>715</v>
      </c>
      <c r="B219" s="83" t="s">
        <v>710</v>
      </c>
      <c r="C219" s="131">
        <v>2064707</v>
      </c>
      <c r="D219" s="92">
        <v>561505.45</v>
      </c>
      <c r="E219" s="92">
        <v>41163.91</v>
      </c>
      <c r="F219" s="92">
        <v>60838.48</v>
      </c>
      <c r="G219" s="92">
        <v>6075</v>
      </c>
      <c r="H219" s="103">
        <v>75325.04</v>
      </c>
      <c r="I219" s="92">
        <v>744907.88</v>
      </c>
      <c r="J219" s="105">
        <v>28142.619706399993</v>
      </c>
      <c r="K219" s="104">
        <v>773050.4997063997</v>
      </c>
      <c r="L219" s="104">
        <v>170575.50029360014</v>
      </c>
      <c r="M219" s="104">
        <v>943626</v>
      </c>
      <c r="N219" s="107">
        <v>34.712</v>
      </c>
      <c r="O219" s="108"/>
      <c r="P219" s="110"/>
    </row>
    <row r="220" spans="1:16" s="74" customFormat="1" ht="12.75" thickBot="1">
      <c r="A220" s="82" t="s">
        <v>729</v>
      </c>
      <c r="B220" s="83" t="s">
        <v>710</v>
      </c>
      <c r="C220" s="132">
        <v>69774</v>
      </c>
      <c r="D220" s="115">
        <v>39711.556000000004</v>
      </c>
      <c r="E220" s="115">
        <v>5413.62</v>
      </c>
      <c r="F220" s="115">
        <v>55</v>
      </c>
      <c r="G220" s="115">
        <v>180</v>
      </c>
      <c r="H220" s="115">
        <v>2170</v>
      </c>
      <c r="I220" s="115">
        <v>47530.17600000001</v>
      </c>
      <c r="J220" s="105">
        <v>1795.6900492800003</v>
      </c>
      <c r="K220" s="104">
        <v>49325.866049280005</v>
      </c>
      <c r="L220" s="116"/>
      <c r="M220" s="104">
        <v>49325.866049280005</v>
      </c>
      <c r="N220" s="121">
        <v>1</v>
      </c>
      <c r="O220" s="108"/>
      <c r="P220" s="110"/>
    </row>
    <row r="221" spans="3:16" s="74" customFormat="1" ht="12">
      <c r="C221" s="120">
        <v>3003111</v>
      </c>
      <c r="D221" s="118">
        <v>969192.5829999998</v>
      </c>
      <c r="E221" s="118">
        <v>104469.23</v>
      </c>
      <c r="F221" s="118">
        <v>76879.85</v>
      </c>
      <c r="G221" s="118">
        <v>33150</v>
      </c>
      <c r="H221" s="118">
        <v>523273.8</v>
      </c>
      <c r="I221" s="118">
        <v>1706965.4629999998</v>
      </c>
      <c r="J221" s="119">
        <v>64489.15519214</v>
      </c>
      <c r="K221" s="119">
        <v>1771454.6181921395</v>
      </c>
      <c r="L221" s="119">
        <v>-49443.79954072026</v>
      </c>
      <c r="M221" s="119">
        <v>1722010.8186514196</v>
      </c>
      <c r="N221" s="120">
        <v>241.14</v>
      </c>
      <c r="O221" s="121"/>
      <c r="P221" s="121"/>
    </row>
    <row r="222" spans="4:16" s="74" customFormat="1" ht="12">
      <c r="D222" s="92"/>
      <c r="F222" s="92"/>
      <c r="H222" s="107">
        <v>241.14</v>
      </c>
      <c r="I222" s="122"/>
      <c r="M222" s="83" t="s">
        <v>745</v>
      </c>
      <c r="O222" s="85"/>
      <c r="P222" s="123"/>
    </row>
    <row r="223" spans="8:13" s="74" customFormat="1" ht="12">
      <c r="H223" s="124" t="s">
        <v>730</v>
      </c>
      <c r="I223" s="92"/>
      <c r="M223" s="74" t="s">
        <v>746</v>
      </c>
    </row>
  </sheetData>
  <mergeCells count="6">
    <mergeCell ref="A2:E2"/>
    <mergeCell ref="A1:L1"/>
    <mergeCell ref="A144:B144"/>
    <mergeCell ref="A143:B143"/>
    <mergeCell ref="A124:D124"/>
    <mergeCell ref="A125:D125"/>
  </mergeCells>
  <printOptions/>
  <pageMargins left="0.25" right="0.25" top="0.25" bottom="0.25" header="0.5" footer="0.5"/>
  <pageSetup fitToHeight="2" fitToWidth="1" horizontalDpi="600" verticalDpi="600" orientation="landscape" paperSize="5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zoomScale="80" zoomScaleNormal="80" workbookViewId="0" topLeftCell="A1">
      <selection activeCell="A110" sqref="A110:IV110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6" t="s">
        <v>117</v>
      </c>
      <c r="B4" s="11" t="s">
        <v>118</v>
      </c>
      <c r="C4" s="11" t="s">
        <v>44</v>
      </c>
      <c r="D4" s="13" t="s">
        <v>120</v>
      </c>
      <c r="E4" s="42" t="s">
        <v>121</v>
      </c>
      <c r="F4" s="39" t="s">
        <v>53</v>
      </c>
      <c r="G4" s="24" t="s">
        <v>62</v>
      </c>
      <c r="H4" s="136">
        <v>154.73770759999996</v>
      </c>
      <c r="I4" s="149">
        <v>461</v>
      </c>
      <c r="J4" s="136">
        <f>I4*$J$1</f>
        <v>46.1</v>
      </c>
      <c r="K4" s="136">
        <v>30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1">H4+J4+K4+N4+P4+R4+S4+T4</f>
        <v>230.83770759999996</v>
      </c>
    </row>
    <row r="5" spans="1:21" ht="15" outlineLevel="2">
      <c r="A5" s="6" t="s">
        <v>117</v>
      </c>
      <c r="B5" s="11" t="s">
        <v>118</v>
      </c>
      <c r="C5" s="11" t="s">
        <v>44</v>
      </c>
      <c r="D5" s="13" t="s">
        <v>120</v>
      </c>
      <c r="E5" s="42" t="s">
        <v>121</v>
      </c>
      <c r="F5" s="39" t="s">
        <v>53</v>
      </c>
      <c r="G5" s="24" t="s">
        <v>63</v>
      </c>
      <c r="H5" s="136">
        <v>1004.495884</v>
      </c>
      <c r="I5" s="149">
        <v>303</v>
      </c>
      <c r="J5" s="136">
        <f>I5*$J$2</f>
        <v>18.18</v>
      </c>
      <c r="K5" s="136">
        <v>15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1037.675884</v>
      </c>
    </row>
    <row r="6" spans="1:21" ht="15" outlineLevel="2">
      <c r="A6" s="6" t="s">
        <v>117</v>
      </c>
      <c r="B6" s="11" t="s">
        <v>118</v>
      </c>
      <c r="C6" s="17" t="s">
        <v>44</v>
      </c>
      <c r="D6" s="13" t="s">
        <v>120</v>
      </c>
      <c r="E6" s="42" t="s">
        <v>121</v>
      </c>
      <c r="F6" s="39" t="s">
        <v>53</v>
      </c>
      <c r="G6" s="24" t="s">
        <v>64</v>
      </c>
      <c r="H6" s="136">
        <v>522.5320604</v>
      </c>
      <c r="I6" s="149">
        <v>435</v>
      </c>
      <c r="J6" s="136">
        <f>I6*$J$2</f>
        <v>26.099999999999998</v>
      </c>
      <c r="K6" s="136">
        <v>30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578.6320604</v>
      </c>
    </row>
    <row r="7" spans="1:21" ht="15" outlineLevel="2">
      <c r="A7" s="6" t="s">
        <v>117</v>
      </c>
      <c r="B7" s="11" t="s">
        <v>118</v>
      </c>
      <c r="C7" s="17" t="s">
        <v>44</v>
      </c>
      <c r="D7" s="13" t="s">
        <v>120</v>
      </c>
      <c r="E7" s="42" t="s">
        <v>121</v>
      </c>
      <c r="F7" s="39" t="s">
        <v>53</v>
      </c>
      <c r="G7" s="24" t="s">
        <v>65</v>
      </c>
      <c r="H7" s="136">
        <v>174.21440399999997</v>
      </c>
      <c r="I7" s="149">
        <v>341</v>
      </c>
      <c r="J7" s="136">
        <f>I7*$J$2</f>
        <v>20.46</v>
      </c>
      <c r="K7" s="136">
        <v>45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239.67440399999998</v>
      </c>
    </row>
    <row r="8" spans="1:21" ht="15" outlineLevel="2">
      <c r="A8" s="6" t="s">
        <v>117</v>
      </c>
      <c r="B8" s="11" t="s">
        <v>118</v>
      </c>
      <c r="C8" s="17" t="s">
        <v>44</v>
      </c>
      <c r="D8" s="13" t="s">
        <v>120</v>
      </c>
      <c r="E8" s="42" t="s">
        <v>121</v>
      </c>
      <c r="F8" s="39" t="s">
        <v>53</v>
      </c>
      <c r="G8" s="24" t="s">
        <v>66</v>
      </c>
      <c r="H8" s="136">
        <v>349.697614</v>
      </c>
      <c r="I8" s="149">
        <v>373</v>
      </c>
      <c r="J8" s="136">
        <f>I8*$J$2</f>
        <v>22.38</v>
      </c>
      <c r="K8" s="136">
        <v>60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432.077614</v>
      </c>
    </row>
    <row r="9" spans="1:21" ht="15" outlineLevel="2">
      <c r="A9" s="6" t="s">
        <v>117</v>
      </c>
      <c r="B9" s="17" t="s">
        <v>118</v>
      </c>
      <c r="C9" s="17" t="s">
        <v>44</v>
      </c>
      <c r="D9" s="13" t="s">
        <v>120</v>
      </c>
      <c r="E9" s="43" t="s">
        <v>121</v>
      </c>
      <c r="F9" s="39" t="s">
        <v>585</v>
      </c>
      <c r="G9" s="24" t="s">
        <v>592</v>
      </c>
      <c r="H9" s="136"/>
      <c r="I9" s="149"/>
      <c r="J9" s="136"/>
      <c r="K9" s="136"/>
      <c r="L9" s="139">
        <v>1</v>
      </c>
      <c r="M9" s="139">
        <v>0.15</v>
      </c>
      <c r="N9" s="136">
        <f>L9*M9*$N$2</f>
        <v>470.25</v>
      </c>
      <c r="O9" s="11"/>
      <c r="P9" s="136"/>
      <c r="Q9" s="140"/>
      <c r="R9" s="136"/>
      <c r="S9" s="136"/>
      <c r="T9" s="136"/>
      <c r="U9" s="136">
        <f t="shared" si="0"/>
        <v>470.25</v>
      </c>
    </row>
    <row r="10" spans="1:21" ht="15" outlineLevel="2">
      <c r="A10" s="28" t="s">
        <v>117</v>
      </c>
      <c r="B10" s="11" t="str">
        <f aca="true" t="shared" si="1" ref="B10:E11">B9</f>
        <v>NDPT</v>
      </c>
      <c r="C10" s="11" t="str">
        <f t="shared" si="1"/>
        <v>CCFC</v>
      </c>
      <c r="D10" s="13" t="str">
        <f t="shared" si="1"/>
        <v>CCFC.ADMIN.32082</v>
      </c>
      <c r="E10" s="38" t="str">
        <f t="shared" si="1"/>
        <v>10-50</v>
      </c>
      <c r="F10" s="20" t="s">
        <v>615</v>
      </c>
      <c r="G10" s="11" t="s">
        <v>615</v>
      </c>
      <c r="H10" s="136"/>
      <c r="I10" s="140"/>
      <c r="J10" s="136"/>
      <c r="K10" s="136"/>
      <c r="L10" s="139"/>
      <c r="M10" s="139"/>
      <c r="N10" s="136"/>
      <c r="O10" s="29">
        <f>1.75+1</f>
        <v>2.75</v>
      </c>
      <c r="P10" s="136">
        <f>O10*$P$2</f>
        <v>198</v>
      </c>
      <c r="Q10" s="140"/>
      <c r="R10" s="136"/>
      <c r="S10" s="136"/>
      <c r="T10" s="136"/>
      <c r="U10" s="136">
        <f t="shared" si="0"/>
        <v>198</v>
      </c>
    </row>
    <row r="11" spans="1:21" ht="15" outlineLevel="2">
      <c r="A11" s="36" t="s">
        <v>117</v>
      </c>
      <c r="B11" s="11" t="str">
        <f t="shared" si="1"/>
        <v>NDPT</v>
      </c>
      <c r="C11" s="11" t="str">
        <f t="shared" si="1"/>
        <v>CCFC</v>
      </c>
      <c r="D11" s="13" t="str">
        <f t="shared" si="1"/>
        <v>CCFC.ADMIN.32082</v>
      </c>
      <c r="E11" s="27" t="str">
        <f t="shared" si="1"/>
        <v>10-50</v>
      </c>
      <c r="F11" s="20" t="s">
        <v>683</v>
      </c>
      <c r="G11" s="11" t="s">
        <v>683</v>
      </c>
      <c r="H11" s="136"/>
      <c r="I11" s="140"/>
      <c r="J11" s="136"/>
      <c r="K11" s="136"/>
      <c r="L11" s="139"/>
      <c r="M11" s="139"/>
      <c r="N11" s="136"/>
      <c r="O11" s="34"/>
      <c r="P11" s="136"/>
      <c r="Q11" s="140"/>
      <c r="R11" s="136"/>
      <c r="S11" s="136"/>
      <c r="T11" s="150">
        <v>57.39</v>
      </c>
      <c r="U11" s="136">
        <f t="shared" si="0"/>
        <v>57.39</v>
      </c>
    </row>
    <row r="12" spans="1:21" s="5" customFormat="1" ht="15.75" outlineLevel="1">
      <c r="A12" s="170" t="s">
        <v>979</v>
      </c>
      <c r="B12" s="45"/>
      <c r="C12" s="45"/>
      <c r="D12" s="61"/>
      <c r="E12" s="44"/>
      <c r="F12" s="51"/>
      <c r="G12" s="45"/>
      <c r="H12" s="137">
        <f aca="true" t="shared" si="2" ref="H12:U12">SUBTOTAL(9,H4:H11)</f>
        <v>2205.67767</v>
      </c>
      <c r="I12" s="167">
        <f t="shared" si="2"/>
        <v>1913</v>
      </c>
      <c r="J12" s="137">
        <f t="shared" si="2"/>
        <v>133.22</v>
      </c>
      <c r="K12" s="137">
        <f t="shared" si="2"/>
        <v>180</v>
      </c>
      <c r="L12" s="141">
        <f t="shared" si="2"/>
        <v>1</v>
      </c>
      <c r="M12" s="141">
        <f t="shared" si="2"/>
        <v>0.15</v>
      </c>
      <c r="N12" s="137">
        <f t="shared" si="2"/>
        <v>470.25</v>
      </c>
      <c r="O12" s="46">
        <f t="shared" si="2"/>
        <v>2.75</v>
      </c>
      <c r="P12" s="137">
        <f t="shared" si="2"/>
        <v>198</v>
      </c>
      <c r="Q12" s="167">
        <f t="shared" si="2"/>
        <v>0</v>
      </c>
      <c r="R12" s="137">
        <f t="shared" si="2"/>
        <v>0</v>
      </c>
      <c r="S12" s="137">
        <f t="shared" si="2"/>
        <v>0</v>
      </c>
      <c r="T12" s="171">
        <f t="shared" si="2"/>
        <v>57.39</v>
      </c>
      <c r="U12" s="137">
        <f t="shared" si="2"/>
        <v>3244.5376699999997</v>
      </c>
    </row>
    <row r="13" spans="1:21" ht="15" outlineLevel="2">
      <c r="A13" s="6" t="s">
        <v>126</v>
      </c>
      <c r="B13" s="7" t="s">
        <v>127</v>
      </c>
      <c r="C13" s="7" t="s">
        <v>45</v>
      </c>
      <c r="D13" s="8" t="s">
        <v>128</v>
      </c>
      <c r="E13" s="42" t="s">
        <v>129</v>
      </c>
      <c r="F13" s="39" t="s">
        <v>53</v>
      </c>
      <c r="G13" s="24" t="s">
        <v>65</v>
      </c>
      <c r="H13" s="136">
        <v>0.429926</v>
      </c>
      <c r="I13" s="149">
        <v>1</v>
      </c>
      <c r="J13" s="136">
        <f>I13*$J$2</f>
        <v>0.06</v>
      </c>
      <c r="K13" s="136">
        <v>15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>H13+J13+K13+N13+P13+R13+S13+T13</f>
        <v>15.489926</v>
      </c>
    </row>
    <row r="14" spans="1:21" ht="15" outlineLevel="2">
      <c r="A14" s="6" t="s">
        <v>126</v>
      </c>
      <c r="B14" s="7" t="s">
        <v>127</v>
      </c>
      <c r="C14" s="7" t="s">
        <v>45</v>
      </c>
      <c r="D14" s="8" t="s">
        <v>128</v>
      </c>
      <c r="E14" s="43" t="s">
        <v>129</v>
      </c>
      <c r="F14" s="39" t="s">
        <v>585</v>
      </c>
      <c r="G14" s="16" t="s">
        <v>592</v>
      </c>
      <c r="H14" s="136"/>
      <c r="I14" s="149"/>
      <c r="J14" s="136"/>
      <c r="K14" s="136"/>
      <c r="L14" s="139">
        <v>2</v>
      </c>
      <c r="M14" s="139">
        <v>0.0177</v>
      </c>
      <c r="N14" s="136">
        <f>L14*M14*$N$2</f>
        <v>110.979</v>
      </c>
      <c r="O14" s="11"/>
      <c r="P14" s="136"/>
      <c r="Q14" s="140"/>
      <c r="R14" s="136"/>
      <c r="S14" s="136"/>
      <c r="T14" s="136"/>
      <c r="U14" s="136">
        <f>H14+J14+K14+N14+P14+R14+S14+T14</f>
        <v>110.979</v>
      </c>
    </row>
    <row r="15" spans="1:21" s="5" customFormat="1" ht="15.75" outlineLevel="1">
      <c r="A15" s="170" t="s">
        <v>980</v>
      </c>
      <c r="B15" s="45"/>
      <c r="C15" s="45"/>
      <c r="D15" s="61"/>
      <c r="E15" s="44"/>
      <c r="F15" s="51"/>
      <c r="G15" s="45"/>
      <c r="H15" s="137">
        <f aca="true" t="shared" si="3" ref="H15:U15">SUBTOTAL(9,H13:H14)</f>
        <v>0.429926</v>
      </c>
      <c r="I15" s="167">
        <f t="shared" si="3"/>
        <v>1</v>
      </c>
      <c r="J15" s="137">
        <f t="shared" si="3"/>
        <v>0.06</v>
      </c>
      <c r="K15" s="137">
        <f t="shared" si="3"/>
        <v>15</v>
      </c>
      <c r="L15" s="141">
        <f t="shared" si="3"/>
        <v>2</v>
      </c>
      <c r="M15" s="141">
        <f t="shared" si="3"/>
        <v>0.0177</v>
      </c>
      <c r="N15" s="137">
        <f t="shared" si="3"/>
        <v>110.979</v>
      </c>
      <c r="O15" s="46">
        <f t="shared" si="3"/>
        <v>0</v>
      </c>
      <c r="P15" s="137">
        <f t="shared" si="3"/>
        <v>0</v>
      </c>
      <c r="Q15" s="167">
        <f t="shared" si="3"/>
        <v>0</v>
      </c>
      <c r="R15" s="137">
        <f t="shared" si="3"/>
        <v>0</v>
      </c>
      <c r="S15" s="137">
        <f t="shared" si="3"/>
        <v>0</v>
      </c>
      <c r="T15" s="171">
        <f t="shared" si="3"/>
        <v>0</v>
      </c>
      <c r="U15" s="137">
        <f t="shared" si="3"/>
        <v>126.468926</v>
      </c>
    </row>
    <row r="16" spans="1:21" ht="15" outlineLevel="2">
      <c r="A16" s="6" t="s">
        <v>394</v>
      </c>
      <c r="B16" s="7" t="s">
        <v>118</v>
      </c>
      <c r="C16" s="7" t="s">
        <v>119</v>
      </c>
      <c r="D16" s="8" t="s">
        <v>395</v>
      </c>
      <c r="E16" s="42" t="s">
        <v>396</v>
      </c>
      <c r="F16" s="39" t="s">
        <v>53</v>
      </c>
      <c r="G16" s="24" t="s">
        <v>62</v>
      </c>
      <c r="H16" s="136">
        <v>422.182089</v>
      </c>
      <c r="I16" s="149">
        <v>1225</v>
      </c>
      <c r="J16" s="136">
        <f>I16*$J$1</f>
        <v>122.5</v>
      </c>
      <c r="K16" s="136">
        <v>0</v>
      </c>
      <c r="L16" s="139"/>
      <c r="M16" s="139"/>
      <c r="N16" s="136"/>
      <c r="O16" s="11"/>
      <c r="P16" s="136"/>
      <c r="Q16" s="140"/>
      <c r="R16" s="136"/>
      <c r="S16" s="136"/>
      <c r="T16" s="136"/>
      <c r="U16" s="136">
        <f aca="true" t="shared" si="4" ref="U16:U23">H16+J16+K16+N16+P16+R16+S16+T16</f>
        <v>544.682089</v>
      </c>
    </row>
    <row r="17" spans="1:21" ht="15" outlineLevel="2">
      <c r="A17" s="6" t="s">
        <v>394</v>
      </c>
      <c r="B17" s="7" t="s">
        <v>118</v>
      </c>
      <c r="C17" s="7" t="s">
        <v>119</v>
      </c>
      <c r="D17" s="8" t="s">
        <v>395</v>
      </c>
      <c r="E17" s="42" t="s">
        <v>396</v>
      </c>
      <c r="F17" s="39" t="s">
        <v>53</v>
      </c>
      <c r="G17" s="24" t="s">
        <v>63</v>
      </c>
      <c r="H17" s="136">
        <v>724.928638</v>
      </c>
      <c r="I17" s="149">
        <v>205</v>
      </c>
      <c r="J17" s="136">
        <f>I17*$J$2</f>
        <v>12.299999999999999</v>
      </c>
      <c r="K17" s="136">
        <v>15</v>
      </c>
      <c r="L17" s="139"/>
      <c r="M17" s="139"/>
      <c r="N17" s="136"/>
      <c r="O17" s="11"/>
      <c r="P17" s="136"/>
      <c r="Q17" s="140"/>
      <c r="R17" s="136"/>
      <c r="S17" s="136"/>
      <c r="T17" s="136"/>
      <c r="U17" s="136">
        <f t="shared" si="4"/>
        <v>752.2286379999999</v>
      </c>
    </row>
    <row r="18" spans="1:21" ht="15" outlineLevel="2">
      <c r="A18" s="6" t="s">
        <v>394</v>
      </c>
      <c r="B18" s="7" t="s">
        <v>118</v>
      </c>
      <c r="C18" s="7" t="s">
        <v>119</v>
      </c>
      <c r="D18" s="8" t="s">
        <v>395</v>
      </c>
      <c r="E18" s="42" t="s">
        <v>396</v>
      </c>
      <c r="F18" s="39" t="s">
        <v>53</v>
      </c>
      <c r="G18" s="24" t="s">
        <v>64</v>
      </c>
      <c r="H18" s="136">
        <v>655.2187586</v>
      </c>
      <c r="I18" s="149">
        <v>498</v>
      </c>
      <c r="J18" s="136">
        <f>I18*$J$2</f>
        <v>29.88</v>
      </c>
      <c r="K18" s="136">
        <v>150</v>
      </c>
      <c r="L18" s="139"/>
      <c r="M18" s="139"/>
      <c r="N18" s="136"/>
      <c r="O18" s="11"/>
      <c r="P18" s="136"/>
      <c r="Q18" s="140"/>
      <c r="R18" s="136"/>
      <c r="S18" s="136"/>
      <c r="T18" s="136"/>
      <c r="U18" s="136">
        <f t="shared" si="4"/>
        <v>835.0987586</v>
      </c>
    </row>
    <row r="19" spans="1:21" ht="15" outlineLevel="2">
      <c r="A19" s="6" t="s">
        <v>394</v>
      </c>
      <c r="B19" s="7" t="s">
        <v>118</v>
      </c>
      <c r="C19" s="7" t="s">
        <v>119</v>
      </c>
      <c r="D19" s="8" t="s">
        <v>395</v>
      </c>
      <c r="E19" s="42" t="s">
        <v>396</v>
      </c>
      <c r="F19" s="39" t="s">
        <v>53</v>
      </c>
      <c r="G19" s="24" t="s">
        <v>65</v>
      </c>
      <c r="H19" s="136">
        <v>192.64564619999996</v>
      </c>
      <c r="I19" s="149">
        <v>353</v>
      </c>
      <c r="J19" s="136">
        <f>I19*$J$2</f>
        <v>21.18</v>
      </c>
      <c r="K19" s="136">
        <v>15</v>
      </c>
      <c r="L19" s="139"/>
      <c r="M19" s="139"/>
      <c r="N19" s="136"/>
      <c r="O19" s="11"/>
      <c r="P19" s="136"/>
      <c r="Q19" s="140"/>
      <c r="R19" s="136"/>
      <c r="S19" s="136"/>
      <c r="T19" s="136"/>
      <c r="U19" s="136">
        <f t="shared" si="4"/>
        <v>228.82564619999997</v>
      </c>
    </row>
    <row r="20" spans="1:21" ht="15" outlineLevel="2">
      <c r="A20" s="6" t="s">
        <v>394</v>
      </c>
      <c r="B20" s="7" t="s">
        <v>118</v>
      </c>
      <c r="C20" s="7" t="s">
        <v>119</v>
      </c>
      <c r="D20" s="8" t="s">
        <v>395</v>
      </c>
      <c r="E20" s="42" t="s">
        <v>396</v>
      </c>
      <c r="F20" s="39" t="s">
        <v>53</v>
      </c>
      <c r="G20" s="24" t="s">
        <v>66</v>
      </c>
      <c r="H20" s="136">
        <v>215.53658419999996</v>
      </c>
      <c r="I20" s="149">
        <v>196</v>
      </c>
      <c r="J20" s="136">
        <f>I20*$J$2</f>
        <v>11.76</v>
      </c>
      <c r="K20" s="136">
        <v>0</v>
      </c>
      <c r="L20" s="139"/>
      <c r="M20" s="139"/>
      <c r="N20" s="136"/>
      <c r="O20" s="11"/>
      <c r="P20" s="136"/>
      <c r="Q20" s="140"/>
      <c r="R20" s="136"/>
      <c r="S20" s="136"/>
      <c r="T20" s="136"/>
      <c r="U20" s="136">
        <f t="shared" si="4"/>
        <v>227.29658419999996</v>
      </c>
    </row>
    <row r="21" spans="1:21" ht="15" outlineLevel="2">
      <c r="A21" s="6" t="str">
        <f>A20</f>
        <v>M560</v>
      </c>
      <c r="B21" s="11" t="str">
        <f>B20</f>
        <v>NDPT</v>
      </c>
      <c r="C21" s="11">
        <f>C20</f>
      </c>
      <c r="D21" s="13" t="str">
        <f>D20</f>
        <v>107001</v>
      </c>
      <c r="E21" s="24" t="str">
        <f>E20</f>
        <v>10-20</v>
      </c>
      <c r="F21" s="39" t="s">
        <v>585</v>
      </c>
      <c r="G21" s="24" t="s">
        <v>585</v>
      </c>
      <c r="H21" s="136"/>
      <c r="I21" s="149"/>
      <c r="J21" s="136"/>
      <c r="K21" s="136"/>
      <c r="L21" s="139">
        <v>1</v>
      </c>
      <c r="M21" s="139">
        <v>1</v>
      </c>
      <c r="N21" s="136">
        <f>L21*M21*$N$2</f>
        <v>3135</v>
      </c>
      <c r="O21" s="11"/>
      <c r="P21" s="136"/>
      <c r="Q21" s="140"/>
      <c r="R21" s="136"/>
      <c r="S21" s="136"/>
      <c r="T21" s="136"/>
      <c r="U21" s="136">
        <f t="shared" si="4"/>
        <v>3135</v>
      </c>
    </row>
    <row r="22" spans="1:21" ht="15" outlineLevel="2">
      <c r="A22" s="28" t="s">
        <v>394</v>
      </c>
      <c r="B22" s="11" t="str">
        <f aca="true" t="shared" si="5" ref="B22:E23">B21</f>
        <v>NDPT</v>
      </c>
      <c r="C22" s="11">
        <f t="shared" si="5"/>
      </c>
      <c r="D22" s="13" t="str">
        <f t="shared" si="5"/>
        <v>107001</v>
      </c>
      <c r="E22" s="38" t="str">
        <f t="shared" si="5"/>
        <v>10-20</v>
      </c>
      <c r="F22" s="20" t="s">
        <v>615</v>
      </c>
      <c r="G22" s="11" t="s">
        <v>615</v>
      </c>
      <c r="H22" s="136"/>
      <c r="I22" s="140"/>
      <c r="J22" s="136"/>
      <c r="K22" s="136"/>
      <c r="L22" s="139"/>
      <c r="M22" s="139"/>
      <c r="N22" s="136"/>
      <c r="O22" s="29">
        <f>1.75+1.75</f>
        <v>3.5</v>
      </c>
      <c r="P22" s="136">
        <f>O22*$P$2</f>
        <v>252</v>
      </c>
      <c r="Q22" s="140"/>
      <c r="R22" s="136"/>
      <c r="S22" s="136"/>
      <c r="T22" s="136"/>
      <c r="U22" s="136">
        <f t="shared" si="4"/>
        <v>252</v>
      </c>
    </row>
    <row r="23" spans="1:21" ht="15" outlineLevel="2">
      <c r="A23" s="36" t="s">
        <v>663</v>
      </c>
      <c r="B23" s="11" t="str">
        <f t="shared" si="5"/>
        <v>NDPT</v>
      </c>
      <c r="C23" s="11">
        <f t="shared" si="5"/>
      </c>
      <c r="D23" s="13" t="str">
        <f t="shared" si="5"/>
        <v>107001</v>
      </c>
      <c r="E23" s="27" t="str">
        <f t="shared" si="5"/>
        <v>10-20</v>
      </c>
      <c r="F23" s="20" t="s">
        <v>683</v>
      </c>
      <c r="G23" s="11" t="s">
        <v>683</v>
      </c>
      <c r="H23" s="136"/>
      <c r="I23" s="140"/>
      <c r="J23" s="136"/>
      <c r="K23" s="136"/>
      <c r="L23" s="139"/>
      <c r="M23" s="139"/>
      <c r="N23" s="136"/>
      <c r="O23" s="34"/>
      <c r="P23" s="136"/>
      <c r="Q23" s="140"/>
      <c r="R23" s="136"/>
      <c r="S23" s="136"/>
      <c r="T23" s="150">
        <f>5.53+10.85</f>
        <v>16.38</v>
      </c>
      <c r="U23" s="136">
        <f t="shared" si="4"/>
        <v>16.38</v>
      </c>
    </row>
    <row r="24" spans="1:21" s="5" customFormat="1" ht="15.75" outlineLevel="1">
      <c r="A24" s="170" t="s">
        <v>981</v>
      </c>
      <c r="B24" s="45"/>
      <c r="C24" s="45"/>
      <c r="D24" s="61"/>
      <c r="E24" s="44"/>
      <c r="F24" s="51"/>
      <c r="G24" s="45"/>
      <c r="H24" s="137">
        <f aca="true" t="shared" si="6" ref="H24:U24">SUBTOTAL(9,H16:H23)</f>
        <v>2210.511716</v>
      </c>
      <c r="I24" s="167">
        <f t="shared" si="6"/>
        <v>2477</v>
      </c>
      <c r="J24" s="137">
        <f t="shared" si="6"/>
        <v>197.62</v>
      </c>
      <c r="K24" s="137">
        <f t="shared" si="6"/>
        <v>180</v>
      </c>
      <c r="L24" s="141">
        <f t="shared" si="6"/>
        <v>1</v>
      </c>
      <c r="M24" s="141">
        <f t="shared" si="6"/>
        <v>1</v>
      </c>
      <c r="N24" s="137">
        <f t="shared" si="6"/>
        <v>3135</v>
      </c>
      <c r="O24" s="46">
        <f t="shared" si="6"/>
        <v>3.5</v>
      </c>
      <c r="P24" s="137">
        <f t="shared" si="6"/>
        <v>252</v>
      </c>
      <c r="Q24" s="167">
        <f t="shared" si="6"/>
        <v>0</v>
      </c>
      <c r="R24" s="137">
        <f t="shared" si="6"/>
        <v>0</v>
      </c>
      <c r="S24" s="137">
        <f t="shared" si="6"/>
        <v>0</v>
      </c>
      <c r="T24" s="171">
        <f t="shared" si="6"/>
        <v>16.38</v>
      </c>
      <c r="U24" s="137">
        <f t="shared" si="6"/>
        <v>5991.511716</v>
      </c>
    </row>
    <row r="25" spans="1:21" ht="15" outlineLevel="2">
      <c r="A25" s="9" t="s">
        <v>21</v>
      </c>
      <c r="B25" s="25" t="s">
        <v>601</v>
      </c>
      <c r="C25" s="42" t="s">
        <v>602</v>
      </c>
      <c r="D25" s="13">
        <v>107001</v>
      </c>
      <c r="E25" s="27" t="s">
        <v>396</v>
      </c>
      <c r="F25" s="20" t="s">
        <v>585</v>
      </c>
      <c r="G25" s="27" t="s">
        <v>585</v>
      </c>
      <c r="H25" s="136"/>
      <c r="I25" s="140"/>
      <c r="J25" s="136"/>
      <c r="K25" s="136"/>
      <c r="L25" s="139">
        <v>2</v>
      </c>
      <c r="M25" s="139">
        <v>0.1429</v>
      </c>
      <c r="N25" s="136">
        <f>L25*M25*$N$2</f>
        <v>895.983</v>
      </c>
      <c r="O25" s="11"/>
      <c r="P25" s="136"/>
      <c r="Q25" s="140"/>
      <c r="R25" s="136"/>
      <c r="S25" s="136"/>
      <c r="T25" s="136"/>
      <c r="U25" s="136">
        <f>H25+J25+K25+N25+P25+R25+S25+T25</f>
        <v>895.983</v>
      </c>
    </row>
    <row r="26" spans="1:21" s="5" customFormat="1" ht="15.75" outlineLevel="1">
      <c r="A26" s="170" t="s">
        <v>982</v>
      </c>
      <c r="B26" s="45"/>
      <c r="C26" s="45"/>
      <c r="D26" s="61"/>
      <c r="E26" s="44"/>
      <c r="F26" s="51"/>
      <c r="G26" s="45"/>
      <c r="H26" s="137">
        <f aca="true" t="shared" si="7" ref="H26:U26">SUBTOTAL(9,H25:H25)</f>
        <v>0</v>
      </c>
      <c r="I26" s="167">
        <f t="shared" si="7"/>
        <v>0</v>
      </c>
      <c r="J26" s="137">
        <f t="shared" si="7"/>
        <v>0</v>
      </c>
      <c r="K26" s="137">
        <f t="shared" si="7"/>
        <v>0</v>
      </c>
      <c r="L26" s="141">
        <f t="shared" si="7"/>
        <v>2</v>
      </c>
      <c r="M26" s="141">
        <f t="shared" si="7"/>
        <v>0.1429</v>
      </c>
      <c r="N26" s="137">
        <f t="shared" si="7"/>
        <v>895.983</v>
      </c>
      <c r="O26" s="46">
        <f t="shared" si="7"/>
        <v>0</v>
      </c>
      <c r="P26" s="137">
        <f t="shared" si="7"/>
        <v>0</v>
      </c>
      <c r="Q26" s="167">
        <f t="shared" si="7"/>
        <v>0</v>
      </c>
      <c r="R26" s="137">
        <f t="shared" si="7"/>
        <v>0</v>
      </c>
      <c r="S26" s="137">
        <f t="shared" si="7"/>
        <v>0</v>
      </c>
      <c r="T26" s="171">
        <f t="shared" si="7"/>
        <v>0</v>
      </c>
      <c r="U26" s="137">
        <f t="shared" si="7"/>
        <v>895.983</v>
      </c>
    </row>
    <row r="27" spans="1:21" ht="15" outlineLevel="2">
      <c r="A27" s="6" t="s">
        <v>532</v>
      </c>
      <c r="B27" s="7" t="s">
        <v>127</v>
      </c>
      <c r="C27" s="7" t="s">
        <v>533</v>
      </c>
      <c r="D27" s="8" t="s">
        <v>534</v>
      </c>
      <c r="E27" s="42" t="s">
        <v>535</v>
      </c>
      <c r="F27" s="39" t="s">
        <v>53</v>
      </c>
      <c r="G27" s="11" t="s">
        <v>62</v>
      </c>
      <c r="H27" s="136">
        <v>1.635816</v>
      </c>
      <c r="I27" s="140">
        <v>5</v>
      </c>
      <c r="J27" s="136">
        <f>I27*$J$1</f>
        <v>0.5</v>
      </c>
      <c r="K27" s="136">
        <v>15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>H27+J27+K27+N27+P27+R27+S27+T27</f>
        <v>17.135816</v>
      </c>
    </row>
    <row r="28" spans="1:21" ht="15" outlineLevel="2">
      <c r="A28" s="6" t="s">
        <v>532</v>
      </c>
      <c r="B28" s="7" t="s">
        <v>127</v>
      </c>
      <c r="C28" s="7" t="s">
        <v>533</v>
      </c>
      <c r="D28" s="8" t="s">
        <v>534</v>
      </c>
      <c r="E28" s="42" t="s">
        <v>535</v>
      </c>
      <c r="F28" s="39" t="s">
        <v>53</v>
      </c>
      <c r="G28" s="11" t="s">
        <v>64</v>
      </c>
      <c r="H28" s="136">
        <v>3.638642</v>
      </c>
      <c r="I28" s="140">
        <v>2</v>
      </c>
      <c r="J28" s="136">
        <f>I28*$J$2</f>
        <v>0.12</v>
      </c>
      <c r="K28" s="136">
        <v>15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>H28+J28+K28+N28+P28+R28+S28+T28</f>
        <v>18.758642000000002</v>
      </c>
    </row>
    <row r="29" spans="1:21" ht="15" outlineLevel="2">
      <c r="A29" s="6" t="str">
        <f>A28</f>
        <v>M901</v>
      </c>
      <c r="B29" s="11" t="str">
        <f>B28</f>
        <v>NDPT-6th</v>
      </c>
      <c r="C29" s="11" t="str">
        <f>C28</f>
        <v>ELECTED OFFICIALS</v>
      </c>
      <c r="D29" s="13" t="str">
        <f>D28</f>
        <v>103000</v>
      </c>
      <c r="E29" s="24" t="str">
        <f>E28</f>
        <v>10-30</v>
      </c>
      <c r="F29" s="39" t="s">
        <v>585</v>
      </c>
      <c r="G29" s="24" t="s">
        <v>585</v>
      </c>
      <c r="H29" s="136"/>
      <c r="I29" s="140"/>
      <c r="J29" s="136"/>
      <c r="K29" s="136"/>
      <c r="L29" s="139">
        <v>2</v>
      </c>
      <c r="M29" s="139">
        <v>0.0177</v>
      </c>
      <c r="N29" s="136">
        <f>L29*M29*$N$2</f>
        <v>110.979</v>
      </c>
      <c r="O29" s="11"/>
      <c r="P29" s="136"/>
      <c r="Q29" s="140"/>
      <c r="R29" s="136"/>
      <c r="S29" s="136"/>
      <c r="T29" s="136"/>
      <c r="U29" s="136">
        <f>H29+J29+K29+N29+P29+R29+S29+T29</f>
        <v>110.979</v>
      </c>
    </row>
    <row r="30" spans="1:21" s="5" customFormat="1" ht="15.75" outlineLevel="1">
      <c r="A30" s="170" t="s">
        <v>983</v>
      </c>
      <c r="B30" s="45"/>
      <c r="C30" s="45"/>
      <c r="D30" s="61"/>
      <c r="E30" s="44"/>
      <c r="F30" s="51"/>
      <c r="G30" s="45"/>
      <c r="H30" s="137">
        <f aca="true" t="shared" si="8" ref="H30:U30">SUBTOTAL(9,H27:H29)</f>
        <v>5.274458</v>
      </c>
      <c r="I30" s="167">
        <f t="shared" si="8"/>
        <v>7</v>
      </c>
      <c r="J30" s="137">
        <f t="shared" si="8"/>
        <v>0.62</v>
      </c>
      <c r="K30" s="137">
        <f t="shared" si="8"/>
        <v>30</v>
      </c>
      <c r="L30" s="141">
        <f t="shared" si="8"/>
        <v>2</v>
      </c>
      <c r="M30" s="141">
        <f t="shared" si="8"/>
        <v>0.0177</v>
      </c>
      <c r="N30" s="137">
        <f t="shared" si="8"/>
        <v>110.979</v>
      </c>
      <c r="O30" s="46">
        <f t="shared" si="8"/>
        <v>0</v>
      </c>
      <c r="P30" s="137">
        <f t="shared" si="8"/>
        <v>0</v>
      </c>
      <c r="Q30" s="167">
        <f t="shared" si="8"/>
        <v>0</v>
      </c>
      <c r="R30" s="137">
        <f t="shared" si="8"/>
        <v>0</v>
      </c>
      <c r="S30" s="137">
        <f t="shared" si="8"/>
        <v>0</v>
      </c>
      <c r="T30" s="171">
        <f t="shared" si="8"/>
        <v>0</v>
      </c>
      <c r="U30" s="137">
        <f t="shared" si="8"/>
        <v>146.873458</v>
      </c>
    </row>
    <row r="31" spans="1:21" ht="15" outlineLevel="2">
      <c r="A31" s="6" t="s">
        <v>536</v>
      </c>
      <c r="B31" s="7" t="s">
        <v>127</v>
      </c>
      <c r="C31" s="7" t="s">
        <v>533</v>
      </c>
      <c r="D31" s="8" t="s">
        <v>534</v>
      </c>
      <c r="E31" s="42" t="s">
        <v>535</v>
      </c>
      <c r="F31" s="39" t="s">
        <v>53</v>
      </c>
      <c r="G31" s="24" t="s">
        <v>62</v>
      </c>
      <c r="H31" s="136">
        <v>3.9762912</v>
      </c>
      <c r="I31" s="149">
        <v>12</v>
      </c>
      <c r="J31" s="136">
        <f>I31*$J$1</f>
        <v>1.2000000000000002</v>
      </c>
      <c r="K31" s="136">
        <v>45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>H31+J31+K31+N31+P31+R31+S31+T31</f>
        <v>50.1762912</v>
      </c>
    </row>
    <row r="32" spans="1:21" ht="15" outlineLevel="2">
      <c r="A32" s="6" t="s">
        <v>536</v>
      </c>
      <c r="B32" s="7" t="s">
        <v>127</v>
      </c>
      <c r="C32" s="7" t="s">
        <v>533</v>
      </c>
      <c r="D32" s="8" t="s">
        <v>534</v>
      </c>
      <c r="E32" s="42" t="s">
        <v>535</v>
      </c>
      <c r="F32" s="39" t="s">
        <v>53</v>
      </c>
      <c r="G32" s="24" t="s">
        <v>63</v>
      </c>
      <c r="H32" s="136">
        <v>2.076228</v>
      </c>
      <c r="I32" s="149">
        <v>1</v>
      </c>
      <c r="J32" s="136">
        <f>I32*$J$2</f>
        <v>0.06</v>
      </c>
      <c r="K32" s="136">
        <v>0</v>
      </c>
      <c r="L32" s="139"/>
      <c r="M32" s="139"/>
      <c r="N32" s="136"/>
      <c r="O32" s="11"/>
      <c r="P32" s="136"/>
      <c r="Q32" s="140"/>
      <c r="R32" s="136"/>
      <c r="S32" s="136"/>
      <c r="T32" s="136"/>
      <c r="U32" s="136">
        <f>H32+J32+K32+N32+P32+R32+S32+T32</f>
        <v>2.136228</v>
      </c>
    </row>
    <row r="33" spans="1:21" ht="15" outlineLevel="2">
      <c r="A33" s="6" t="s">
        <v>536</v>
      </c>
      <c r="B33" s="7" t="s">
        <v>127</v>
      </c>
      <c r="C33" s="7" t="s">
        <v>533</v>
      </c>
      <c r="D33" s="8" t="s">
        <v>534</v>
      </c>
      <c r="E33" s="42" t="s">
        <v>535</v>
      </c>
      <c r="F33" s="39" t="s">
        <v>53</v>
      </c>
      <c r="G33" s="24" t="s">
        <v>64</v>
      </c>
      <c r="H33" s="136">
        <v>10.180857399999999</v>
      </c>
      <c r="I33" s="149">
        <v>9</v>
      </c>
      <c r="J33" s="136">
        <f>I33*$J$2</f>
        <v>0.54</v>
      </c>
      <c r="K33" s="136">
        <v>45</v>
      </c>
      <c r="L33" s="139"/>
      <c r="M33" s="139"/>
      <c r="N33" s="136"/>
      <c r="O33" s="11"/>
      <c r="P33" s="136"/>
      <c r="Q33" s="140"/>
      <c r="R33" s="136"/>
      <c r="S33" s="136"/>
      <c r="T33" s="136"/>
      <c r="U33" s="136">
        <f>H33+J33+K33+N33+P33+R33+S33+T33</f>
        <v>55.7208574</v>
      </c>
    </row>
    <row r="34" spans="1:21" ht="15" outlineLevel="2">
      <c r="A34" s="6" t="s">
        <v>536</v>
      </c>
      <c r="B34" s="7" t="s">
        <v>127</v>
      </c>
      <c r="C34" s="7" t="s">
        <v>533</v>
      </c>
      <c r="D34" s="8" t="s">
        <v>534</v>
      </c>
      <c r="E34" s="42" t="s">
        <v>535</v>
      </c>
      <c r="F34" s="39" t="s">
        <v>53</v>
      </c>
      <c r="G34" s="24" t="s">
        <v>66</v>
      </c>
      <c r="H34" s="136">
        <v>15.4867734</v>
      </c>
      <c r="I34" s="149">
        <v>14</v>
      </c>
      <c r="J34" s="136">
        <f>I34*$J$2</f>
        <v>0.84</v>
      </c>
      <c r="K34" s="136">
        <v>75</v>
      </c>
      <c r="L34" s="139"/>
      <c r="M34" s="139"/>
      <c r="N34" s="136"/>
      <c r="O34" s="11"/>
      <c r="P34" s="136"/>
      <c r="Q34" s="140"/>
      <c r="R34" s="136"/>
      <c r="S34" s="136"/>
      <c r="T34" s="136"/>
      <c r="U34" s="136">
        <f>H34+J34+K34+N34+P34+R34+S34+T34</f>
        <v>91.32677340000001</v>
      </c>
    </row>
    <row r="35" spans="1:21" ht="15" outlineLevel="2">
      <c r="A35" s="6" t="str">
        <f>A34</f>
        <v>M902</v>
      </c>
      <c r="B35" s="11" t="str">
        <f>B34</f>
        <v>NDPT-6th</v>
      </c>
      <c r="C35" s="11" t="str">
        <f>C34</f>
        <v>ELECTED OFFICIALS</v>
      </c>
      <c r="D35" s="13" t="str">
        <f>D34</f>
        <v>103000</v>
      </c>
      <c r="E35" s="24" t="str">
        <f>E34</f>
        <v>10-30</v>
      </c>
      <c r="F35" s="39" t="s">
        <v>585</v>
      </c>
      <c r="G35" s="24" t="s">
        <v>585</v>
      </c>
      <c r="H35" s="136"/>
      <c r="I35" s="149"/>
      <c r="J35" s="136"/>
      <c r="K35" s="136"/>
      <c r="L35" s="139">
        <v>1</v>
      </c>
      <c r="M35" s="139">
        <v>0.111</v>
      </c>
      <c r="N35" s="136">
        <f>L35*M35*$N$2</f>
        <v>347.985</v>
      </c>
      <c r="O35" s="11"/>
      <c r="P35" s="136"/>
      <c r="Q35" s="140"/>
      <c r="R35" s="136"/>
      <c r="S35" s="136"/>
      <c r="T35" s="136"/>
      <c r="U35" s="136">
        <f>H35+J35+K35+N35+P35+R35+S35+T35</f>
        <v>347.985</v>
      </c>
    </row>
    <row r="36" spans="1:21" s="5" customFormat="1" ht="15.75" outlineLevel="1">
      <c r="A36" s="170" t="s">
        <v>984</v>
      </c>
      <c r="B36" s="45"/>
      <c r="C36" s="45"/>
      <c r="D36" s="61"/>
      <c r="E36" s="44"/>
      <c r="F36" s="51"/>
      <c r="G36" s="45"/>
      <c r="H36" s="137">
        <f aca="true" t="shared" si="9" ref="H36:U36">SUBTOTAL(9,H31:H35)</f>
        <v>31.72015</v>
      </c>
      <c r="I36" s="167">
        <f t="shared" si="9"/>
        <v>36</v>
      </c>
      <c r="J36" s="137">
        <f t="shared" si="9"/>
        <v>2.64</v>
      </c>
      <c r="K36" s="137">
        <f t="shared" si="9"/>
        <v>165</v>
      </c>
      <c r="L36" s="141">
        <f t="shared" si="9"/>
        <v>1</v>
      </c>
      <c r="M36" s="141">
        <f t="shared" si="9"/>
        <v>0.111</v>
      </c>
      <c r="N36" s="137">
        <f t="shared" si="9"/>
        <v>347.985</v>
      </c>
      <c r="O36" s="46">
        <f t="shared" si="9"/>
        <v>0</v>
      </c>
      <c r="P36" s="137">
        <f t="shared" si="9"/>
        <v>0</v>
      </c>
      <c r="Q36" s="167">
        <f t="shared" si="9"/>
        <v>0</v>
      </c>
      <c r="R36" s="137">
        <f t="shared" si="9"/>
        <v>0</v>
      </c>
      <c r="S36" s="137">
        <f t="shared" si="9"/>
        <v>0</v>
      </c>
      <c r="T36" s="171">
        <f t="shared" si="9"/>
        <v>0</v>
      </c>
      <c r="U36" s="137">
        <f t="shared" si="9"/>
        <v>547.34515</v>
      </c>
    </row>
    <row r="37" spans="1:21" ht="15" outlineLevel="2">
      <c r="A37" s="6" t="s">
        <v>537</v>
      </c>
      <c r="B37" s="7" t="s">
        <v>127</v>
      </c>
      <c r="C37" s="42" t="s">
        <v>36</v>
      </c>
      <c r="D37" s="8" t="s">
        <v>538</v>
      </c>
      <c r="E37" s="42" t="s">
        <v>539</v>
      </c>
      <c r="F37" s="39" t="s">
        <v>53</v>
      </c>
      <c r="G37" s="24" t="s">
        <v>62</v>
      </c>
      <c r="H37" s="136">
        <v>31.4831664</v>
      </c>
      <c r="I37" s="149">
        <v>96</v>
      </c>
      <c r="J37" s="136">
        <f>I37*$J$1</f>
        <v>9.600000000000001</v>
      </c>
      <c r="K37" s="136">
        <v>15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 aca="true" t="shared" si="10" ref="U37:U42">H37+J37+K37+N37+P37+R37+S37+T37</f>
        <v>56.0831664</v>
      </c>
    </row>
    <row r="38" spans="1:21" ht="15" outlineLevel="2">
      <c r="A38" s="6" t="s">
        <v>537</v>
      </c>
      <c r="B38" s="7" t="s">
        <v>127</v>
      </c>
      <c r="C38" s="42" t="s">
        <v>36</v>
      </c>
      <c r="D38" s="8" t="s">
        <v>538</v>
      </c>
      <c r="E38" s="42" t="s">
        <v>539</v>
      </c>
      <c r="F38" s="39" t="s">
        <v>53</v>
      </c>
      <c r="G38" s="24" t="s">
        <v>63</v>
      </c>
      <c r="H38" s="136">
        <v>7.528948</v>
      </c>
      <c r="I38" s="149">
        <v>5</v>
      </c>
      <c r="J38" s="136">
        <f>I38*$J$2</f>
        <v>0.3</v>
      </c>
      <c r="K38" s="136">
        <v>15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 t="shared" si="10"/>
        <v>22.828948</v>
      </c>
    </row>
    <row r="39" spans="1:21" ht="15" outlineLevel="2">
      <c r="A39" s="6" t="s">
        <v>537</v>
      </c>
      <c r="B39" s="7" t="s">
        <v>127</v>
      </c>
      <c r="C39" s="42" t="s">
        <v>36</v>
      </c>
      <c r="D39" s="8" t="s">
        <v>538</v>
      </c>
      <c r="E39" s="42" t="s">
        <v>539</v>
      </c>
      <c r="F39" s="39" t="s">
        <v>53</v>
      </c>
      <c r="G39" s="24" t="s">
        <v>64</v>
      </c>
      <c r="H39" s="136">
        <v>5.777786</v>
      </c>
      <c r="I39" s="149">
        <v>5</v>
      </c>
      <c r="J39" s="136">
        <f>I39*$J$2</f>
        <v>0.3</v>
      </c>
      <c r="K39" s="136">
        <v>15</v>
      </c>
      <c r="L39" s="139"/>
      <c r="M39" s="139"/>
      <c r="N39" s="136"/>
      <c r="O39" s="11"/>
      <c r="P39" s="136"/>
      <c r="Q39" s="140"/>
      <c r="R39" s="136"/>
      <c r="S39" s="136"/>
      <c r="T39" s="136"/>
      <c r="U39" s="136">
        <f t="shared" si="10"/>
        <v>21.077786</v>
      </c>
    </row>
    <row r="40" spans="1:21" ht="15" outlineLevel="2">
      <c r="A40" s="6" t="s">
        <v>537</v>
      </c>
      <c r="B40" s="7" t="s">
        <v>127</v>
      </c>
      <c r="C40" s="42" t="s">
        <v>36</v>
      </c>
      <c r="D40" s="8" t="s">
        <v>538</v>
      </c>
      <c r="E40" s="42" t="s">
        <v>539</v>
      </c>
      <c r="F40" s="39" t="s">
        <v>53</v>
      </c>
      <c r="G40" s="24" t="s">
        <v>65</v>
      </c>
      <c r="H40" s="136">
        <v>6.826385999999999</v>
      </c>
      <c r="I40" s="149">
        <v>15</v>
      </c>
      <c r="J40" s="136">
        <f>I40*$J$2</f>
        <v>0.8999999999999999</v>
      </c>
      <c r="K40" s="136">
        <v>75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 t="shared" si="10"/>
        <v>82.726386</v>
      </c>
    </row>
    <row r="41" spans="1:21" ht="15" outlineLevel="2">
      <c r="A41" s="6" t="s">
        <v>537</v>
      </c>
      <c r="B41" s="7" t="s">
        <v>127</v>
      </c>
      <c r="C41" s="42" t="s">
        <v>36</v>
      </c>
      <c r="D41" s="8" t="s">
        <v>538</v>
      </c>
      <c r="E41" s="42" t="s">
        <v>539</v>
      </c>
      <c r="F41" s="39" t="s">
        <v>53</v>
      </c>
      <c r="G41" s="24" t="s">
        <v>66</v>
      </c>
      <c r="H41" s="136">
        <v>63.344877399999994</v>
      </c>
      <c r="I41" s="149">
        <v>55</v>
      </c>
      <c r="J41" s="136">
        <f>I41*$J$2</f>
        <v>3.3</v>
      </c>
      <c r="K41" s="136">
        <v>30</v>
      </c>
      <c r="L41" s="139"/>
      <c r="M41" s="139"/>
      <c r="N41" s="136"/>
      <c r="O41" s="11"/>
      <c r="P41" s="136"/>
      <c r="Q41" s="140"/>
      <c r="R41" s="136"/>
      <c r="S41" s="136"/>
      <c r="T41" s="136"/>
      <c r="U41" s="136">
        <f t="shared" si="10"/>
        <v>96.6448774</v>
      </c>
    </row>
    <row r="42" spans="1:21" ht="15" outlineLevel="2">
      <c r="A42" s="6" t="str">
        <f>A41</f>
        <v>M903</v>
      </c>
      <c r="B42" s="11" t="str">
        <f>B41</f>
        <v>NDPT-6th</v>
      </c>
      <c r="C42" s="42" t="s">
        <v>36</v>
      </c>
      <c r="D42" s="13" t="str">
        <f>D41</f>
        <v>104000</v>
      </c>
      <c r="E42" s="24" t="str">
        <f>E41</f>
        <v>10-40</v>
      </c>
      <c r="F42" s="39" t="s">
        <v>585</v>
      </c>
      <c r="G42" s="24" t="s">
        <v>585</v>
      </c>
      <c r="H42" s="136"/>
      <c r="I42" s="149"/>
      <c r="J42" s="136"/>
      <c r="K42" s="136"/>
      <c r="L42" s="139">
        <v>1</v>
      </c>
      <c r="M42" s="139">
        <v>0.111</v>
      </c>
      <c r="N42" s="136">
        <f>L42*M42*$N$2</f>
        <v>347.985</v>
      </c>
      <c r="O42" s="11"/>
      <c r="P42" s="136"/>
      <c r="Q42" s="140"/>
      <c r="R42" s="136"/>
      <c r="S42" s="136"/>
      <c r="T42" s="136"/>
      <c r="U42" s="136">
        <f t="shared" si="10"/>
        <v>347.985</v>
      </c>
    </row>
    <row r="43" spans="1:21" s="5" customFormat="1" ht="15.75" outlineLevel="1">
      <c r="A43" s="170" t="s">
        <v>985</v>
      </c>
      <c r="B43" s="45"/>
      <c r="C43" s="45"/>
      <c r="D43" s="61"/>
      <c r="E43" s="44"/>
      <c r="F43" s="51"/>
      <c r="G43" s="45"/>
      <c r="H43" s="137">
        <f aca="true" t="shared" si="11" ref="H43:U43">SUBTOTAL(9,H37:H42)</f>
        <v>114.9611638</v>
      </c>
      <c r="I43" s="167">
        <f t="shared" si="11"/>
        <v>176</v>
      </c>
      <c r="J43" s="137">
        <f t="shared" si="11"/>
        <v>14.400000000000002</v>
      </c>
      <c r="K43" s="137">
        <f t="shared" si="11"/>
        <v>150</v>
      </c>
      <c r="L43" s="141">
        <f t="shared" si="11"/>
        <v>1</v>
      </c>
      <c r="M43" s="141">
        <f t="shared" si="11"/>
        <v>0.111</v>
      </c>
      <c r="N43" s="137">
        <f t="shared" si="11"/>
        <v>347.985</v>
      </c>
      <c r="O43" s="46">
        <f t="shared" si="11"/>
        <v>0</v>
      </c>
      <c r="P43" s="137">
        <f t="shared" si="11"/>
        <v>0</v>
      </c>
      <c r="Q43" s="167">
        <f t="shared" si="11"/>
        <v>0</v>
      </c>
      <c r="R43" s="137">
        <f t="shared" si="11"/>
        <v>0</v>
      </c>
      <c r="S43" s="137">
        <f t="shared" si="11"/>
        <v>0</v>
      </c>
      <c r="T43" s="171">
        <f t="shared" si="11"/>
        <v>0</v>
      </c>
      <c r="U43" s="137">
        <f t="shared" si="11"/>
        <v>627.3461638</v>
      </c>
    </row>
    <row r="44" spans="1:21" ht="15" outlineLevel="2">
      <c r="A44" s="9" t="s">
        <v>28</v>
      </c>
      <c r="B44" s="25" t="s">
        <v>118</v>
      </c>
      <c r="C44" s="11" t="s">
        <v>606</v>
      </c>
      <c r="D44" s="13">
        <v>106000</v>
      </c>
      <c r="E44" s="27" t="s">
        <v>605</v>
      </c>
      <c r="F44" s="20" t="s">
        <v>585</v>
      </c>
      <c r="G44" s="27" t="s">
        <v>585</v>
      </c>
      <c r="H44" s="136"/>
      <c r="I44" s="140"/>
      <c r="J44" s="136"/>
      <c r="K44" s="136"/>
      <c r="L44" s="139">
        <v>2.5</v>
      </c>
      <c r="M44" s="139">
        <v>0.05</v>
      </c>
      <c r="N44" s="136">
        <f>L44*M44*$N$2</f>
        <v>391.875</v>
      </c>
      <c r="O44" s="11"/>
      <c r="P44" s="136"/>
      <c r="Q44" s="140"/>
      <c r="R44" s="136"/>
      <c r="S44" s="136"/>
      <c r="T44" s="136"/>
      <c r="U44" s="136">
        <f>H44+J44+K44+N44+P44+R44+S44+T44</f>
        <v>391.875</v>
      </c>
    </row>
    <row r="45" spans="1:21" s="5" customFormat="1" ht="15.75" outlineLevel="1">
      <c r="A45" s="170" t="s">
        <v>986</v>
      </c>
      <c r="B45" s="45"/>
      <c r="C45" s="45"/>
      <c r="D45" s="61"/>
      <c r="E45" s="44"/>
      <c r="F45" s="51"/>
      <c r="G45" s="45"/>
      <c r="H45" s="137">
        <f aca="true" t="shared" si="12" ref="H45:U45">SUBTOTAL(9,H44:H44)</f>
        <v>0</v>
      </c>
      <c r="I45" s="167">
        <f t="shared" si="12"/>
        <v>0</v>
      </c>
      <c r="J45" s="137">
        <f t="shared" si="12"/>
        <v>0</v>
      </c>
      <c r="K45" s="137">
        <f t="shared" si="12"/>
        <v>0</v>
      </c>
      <c r="L45" s="141">
        <f t="shared" si="12"/>
        <v>2.5</v>
      </c>
      <c r="M45" s="141">
        <f t="shared" si="12"/>
        <v>0.05</v>
      </c>
      <c r="N45" s="137">
        <f t="shared" si="12"/>
        <v>391.875</v>
      </c>
      <c r="O45" s="46">
        <f t="shared" si="12"/>
        <v>0</v>
      </c>
      <c r="P45" s="137">
        <f t="shared" si="12"/>
        <v>0</v>
      </c>
      <c r="Q45" s="167">
        <f t="shared" si="12"/>
        <v>0</v>
      </c>
      <c r="R45" s="137">
        <f t="shared" si="12"/>
        <v>0</v>
      </c>
      <c r="S45" s="137">
        <f t="shared" si="12"/>
        <v>0</v>
      </c>
      <c r="T45" s="171">
        <f t="shared" si="12"/>
        <v>0</v>
      </c>
      <c r="U45" s="137">
        <f t="shared" si="12"/>
        <v>391.875</v>
      </c>
    </row>
    <row r="46" spans="1:21" ht="15" outlineLevel="2">
      <c r="A46" s="6" t="s">
        <v>544</v>
      </c>
      <c r="B46" s="7" t="s">
        <v>127</v>
      </c>
      <c r="C46" s="7" t="s">
        <v>533</v>
      </c>
      <c r="D46" s="8" t="s">
        <v>545</v>
      </c>
      <c r="E46" s="42" t="s">
        <v>546</v>
      </c>
      <c r="F46" s="39" t="s">
        <v>53</v>
      </c>
      <c r="G46" s="24" t="s">
        <v>62</v>
      </c>
      <c r="H46" s="136">
        <v>748.3354872</v>
      </c>
      <c r="I46" s="149">
        <v>2179</v>
      </c>
      <c r="J46" s="136">
        <f>I46*$J$1</f>
        <v>217.9</v>
      </c>
      <c r="K46" s="136">
        <v>150</v>
      </c>
      <c r="L46" s="139"/>
      <c r="M46" s="139"/>
      <c r="N46" s="136"/>
      <c r="O46" s="11"/>
      <c r="P46" s="136"/>
      <c r="Q46" s="140"/>
      <c r="R46" s="136"/>
      <c r="S46" s="136"/>
      <c r="T46" s="136"/>
      <c r="U46" s="136">
        <f aca="true" t="shared" si="13" ref="U46:U52">H46+J46+K46+N46+P46+R46+S46+T46</f>
        <v>1116.2354872</v>
      </c>
    </row>
    <row r="47" spans="1:21" ht="15" outlineLevel="2">
      <c r="A47" s="6" t="s">
        <v>544</v>
      </c>
      <c r="B47" s="7" t="s">
        <v>127</v>
      </c>
      <c r="C47" s="7" t="s">
        <v>533</v>
      </c>
      <c r="D47" s="8" t="s">
        <v>545</v>
      </c>
      <c r="E47" s="42" t="s">
        <v>546</v>
      </c>
      <c r="F47" s="39" t="s">
        <v>53</v>
      </c>
      <c r="G47" s="24" t="s">
        <v>63</v>
      </c>
      <c r="H47" s="136">
        <v>12.908266</v>
      </c>
      <c r="I47" s="149">
        <v>4</v>
      </c>
      <c r="J47" s="136">
        <f>I47*$J$2</f>
        <v>0.24</v>
      </c>
      <c r="K47" s="136">
        <v>15</v>
      </c>
      <c r="L47" s="139"/>
      <c r="M47" s="139"/>
      <c r="N47" s="136"/>
      <c r="O47" s="11"/>
      <c r="P47" s="136"/>
      <c r="Q47" s="140"/>
      <c r="R47" s="136"/>
      <c r="S47" s="136"/>
      <c r="T47" s="136"/>
      <c r="U47" s="136">
        <f t="shared" si="13"/>
        <v>28.148266</v>
      </c>
    </row>
    <row r="48" spans="1:21" ht="15" outlineLevel="2">
      <c r="A48" s="6" t="s">
        <v>544</v>
      </c>
      <c r="B48" s="7" t="s">
        <v>127</v>
      </c>
      <c r="C48" s="7" t="s">
        <v>533</v>
      </c>
      <c r="D48" s="8" t="s">
        <v>545</v>
      </c>
      <c r="E48" s="42" t="s">
        <v>546</v>
      </c>
      <c r="F48" s="39" t="s">
        <v>53</v>
      </c>
      <c r="G48" s="24" t="s">
        <v>64</v>
      </c>
      <c r="H48" s="136">
        <v>9.542259999999999</v>
      </c>
      <c r="I48" s="149">
        <v>9</v>
      </c>
      <c r="J48" s="136">
        <f>I48*$J$2</f>
        <v>0.54</v>
      </c>
      <c r="K48" s="136">
        <v>0</v>
      </c>
      <c r="L48" s="139"/>
      <c r="M48" s="139"/>
      <c r="N48" s="136"/>
      <c r="O48" s="11"/>
      <c r="P48" s="136"/>
      <c r="Q48" s="140"/>
      <c r="R48" s="136"/>
      <c r="S48" s="136"/>
      <c r="T48" s="136"/>
      <c r="U48" s="136">
        <f t="shared" si="13"/>
        <v>10.082259999999998</v>
      </c>
    </row>
    <row r="49" spans="1:21" ht="15" outlineLevel="2">
      <c r="A49" s="6" t="s">
        <v>544</v>
      </c>
      <c r="B49" s="7" t="s">
        <v>127</v>
      </c>
      <c r="C49" s="7" t="s">
        <v>533</v>
      </c>
      <c r="D49" s="8" t="s">
        <v>545</v>
      </c>
      <c r="E49" s="42" t="s">
        <v>546</v>
      </c>
      <c r="F49" s="39" t="s">
        <v>53</v>
      </c>
      <c r="G49" s="11" t="s">
        <v>65</v>
      </c>
      <c r="H49" s="136">
        <v>0.6543264</v>
      </c>
      <c r="I49" s="140">
        <v>2</v>
      </c>
      <c r="J49" s="136">
        <f>I49*$J$2</f>
        <v>0.12</v>
      </c>
      <c r="K49" s="136">
        <v>0</v>
      </c>
      <c r="L49" s="139"/>
      <c r="M49" s="139"/>
      <c r="N49" s="136"/>
      <c r="O49" s="11"/>
      <c r="P49" s="136"/>
      <c r="Q49" s="140"/>
      <c r="R49" s="136"/>
      <c r="S49" s="136"/>
      <c r="T49" s="136"/>
      <c r="U49" s="136">
        <f t="shared" si="13"/>
        <v>0.7743264</v>
      </c>
    </row>
    <row r="50" spans="1:21" ht="15" outlineLevel="2">
      <c r="A50" s="6" t="s">
        <v>544</v>
      </c>
      <c r="B50" s="7" t="s">
        <v>127</v>
      </c>
      <c r="C50" s="7" t="s">
        <v>533</v>
      </c>
      <c r="D50" s="8" t="s">
        <v>545</v>
      </c>
      <c r="E50" s="42" t="s">
        <v>546</v>
      </c>
      <c r="F50" s="39" t="s">
        <v>53</v>
      </c>
      <c r="G50" s="24" t="s">
        <v>66</v>
      </c>
      <c r="H50" s="136">
        <v>4.179719599999999</v>
      </c>
      <c r="I50" s="149">
        <v>4</v>
      </c>
      <c r="J50" s="136">
        <f>I50*$J$2</f>
        <v>0.24</v>
      </c>
      <c r="K50" s="136">
        <v>15</v>
      </c>
      <c r="L50" s="139"/>
      <c r="M50" s="139"/>
      <c r="N50" s="136"/>
      <c r="O50" s="11"/>
      <c r="P50" s="136"/>
      <c r="Q50" s="140"/>
      <c r="R50" s="136"/>
      <c r="S50" s="136"/>
      <c r="T50" s="136"/>
      <c r="U50" s="136">
        <f t="shared" si="13"/>
        <v>19.4197196</v>
      </c>
    </row>
    <row r="51" spans="1:21" ht="15" outlineLevel="2">
      <c r="A51" s="6" t="str">
        <f>A50</f>
        <v>M918</v>
      </c>
      <c r="B51" s="11" t="str">
        <f>B50</f>
        <v>NDPT-6th</v>
      </c>
      <c r="C51" s="11" t="str">
        <f>C50</f>
        <v>ELECTED OFFICIALS</v>
      </c>
      <c r="D51" s="13" t="str">
        <f>D50</f>
        <v>109001</v>
      </c>
      <c r="E51" s="24" t="str">
        <f>E50</f>
        <v>10-01</v>
      </c>
      <c r="F51" s="39" t="s">
        <v>585</v>
      </c>
      <c r="G51" s="24" t="s">
        <v>585</v>
      </c>
      <c r="H51" s="136"/>
      <c r="I51" s="149"/>
      <c r="J51" s="136"/>
      <c r="K51" s="136"/>
      <c r="L51" s="139">
        <v>1</v>
      </c>
      <c r="M51" s="139">
        <v>0.111</v>
      </c>
      <c r="N51" s="136">
        <f>L51*M51*$N$2</f>
        <v>347.985</v>
      </c>
      <c r="O51" s="11"/>
      <c r="P51" s="136"/>
      <c r="Q51" s="140"/>
      <c r="R51" s="136"/>
      <c r="S51" s="136"/>
      <c r="T51" s="136"/>
      <c r="U51" s="136">
        <f t="shared" si="13"/>
        <v>347.985</v>
      </c>
    </row>
    <row r="52" spans="1:21" ht="15" outlineLevel="2">
      <c r="A52" s="28" t="s">
        <v>544</v>
      </c>
      <c r="B52" s="11" t="str">
        <f>B51</f>
        <v>NDPT-6th</v>
      </c>
      <c r="C52" s="11" t="str">
        <f>C51</f>
        <v>ELECTED OFFICIALS</v>
      </c>
      <c r="D52" s="13" t="str">
        <f>D51</f>
        <v>109001</v>
      </c>
      <c r="E52" s="38" t="str">
        <f>E51</f>
        <v>10-01</v>
      </c>
      <c r="F52" s="20" t="s">
        <v>615</v>
      </c>
      <c r="G52" s="11" t="s">
        <v>615</v>
      </c>
      <c r="H52" s="136"/>
      <c r="I52" s="140"/>
      <c r="J52" s="136"/>
      <c r="K52" s="136"/>
      <c r="L52" s="139"/>
      <c r="M52" s="139"/>
      <c r="N52" s="136"/>
      <c r="O52" s="29">
        <v>0.75</v>
      </c>
      <c r="P52" s="136">
        <f>O52*$P$2</f>
        <v>54</v>
      </c>
      <c r="Q52" s="140"/>
      <c r="R52" s="136"/>
      <c r="S52" s="136"/>
      <c r="T52" s="136"/>
      <c r="U52" s="136">
        <f t="shared" si="13"/>
        <v>54</v>
      </c>
    </row>
    <row r="53" spans="1:21" s="5" customFormat="1" ht="15.75" outlineLevel="1">
      <c r="A53" s="170" t="s">
        <v>987</v>
      </c>
      <c r="B53" s="45"/>
      <c r="C53" s="45"/>
      <c r="D53" s="61"/>
      <c r="E53" s="44"/>
      <c r="F53" s="51"/>
      <c r="G53" s="45"/>
      <c r="H53" s="137">
        <f aca="true" t="shared" si="14" ref="H53:U53">SUBTOTAL(9,H46:H52)</f>
        <v>775.6200592</v>
      </c>
      <c r="I53" s="167">
        <f t="shared" si="14"/>
        <v>2198</v>
      </c>
      <c r="J53" s="137">
        <f t="shared" si="14"/>
        <v>219.04000000000002</v>
      </c>
      <c r="K53" s="137">
        <f t="shared" si="14"/>
        <v>180</v>
      </c>
      <c r="L53" s="141">
        <f t="shared" si="14"/>
        <v>1</v>
      </c>
      <c r="M53" s="141">
        <f t="shared" si="14"/>
        <v>0.111</v>
      </c>
      <c r="N53" s="137">
        <f t="shared" si="14"/>
        <v>347.985</v>
      </c>
      <c r="O53" s="46">
        <f t="shared" si="14"/>
        <v>0.75</v>
      </c>
      <c r="P53" s="137">
        <f t="shared" si="14"/>
        <v>54</v>
      </c>
      <c r="Q53" s="167">
        <f t="shared" si="14"/>
        <v>0</v>
      </c>
      <c r="R53" s="137">
        <f t="shared" si="14"/>
        <v>0</v>
      </c>
      <c r="S53" s="137">
        <f t="shared" si="14"/>
        <v>0</v>
      </c>
      <c r="T53" s="171">
        <f t="shared" si="14"/>
        <v>0</v>
      </c>
      <c r="U53" s="137">
        <f t="shared" si="14"/>
        <v>1576.6450592</v>
      </c>
    </row>
    <row r="54" spans="1:21" ht="15" outlineLevel="2">
      <c r="A54" s="6" t="s">
        <v>547</v>
      </c>
      <c r="B54" s="7" t="s">
        <v>127</v>
      </c>
      <c r="C54" s="7" t="s">
        <v>533</v>
      </c>
      <c r="D54" s="8" t="s">
        <v>548</v>
      </c>
      <c r="E54" s="42" t="s">
        <v>396</v>
      </c>
      <c r="F54" s="39" t="s">
        <v>53</v>
      </c>
      <c r="G54" s="11" t="s">
        <v>64</v>
      </c>
      <c r="H54" s="136">
        <v>1.195404</v>
      </c>
      <c r="I54" s="140">
        <v>1</v>
      </c>
      <c r="J54" s="136">
        <f>I54*$J$2</f>
        <v>0.06</v>
      </c>
      <c r="K54" s="136">
        <v>15</v>
      </c>
      <c r="L54" s="139"/>
      <c r="M54" s="139"/>
      <c r="N54" s="136"/>
      <c r="O54" s="11"/>
      <c r="P54" s="136"/>
      <c r="Q54" s="140"/>
      <c r="R54" s="136"/>
      <c r="S54" s="136"/>
      <c r="T54" s="136"/>
      <c r="U54" s="136">
        <f>H54+J54+K54+N54+P54+R54+S54+T54</f>
        <v>16.255404</v>
      </c>
    </row>
    <row r="55" spans="1:21" ht="15" outlineLevel="2">
      <c r="A55" s="6" t="str">
        <f>A54</f>
        <v>M919</v>
      </c>
      <c r="B55" s="11" t="str">
        <f>B54</f>
        <v>NDPT-6th</v>
      </c>
      <c r="C55" s="11" t="str">
        <f>C54</f>
        <v>ELECTED OFFICIALS</v>
      </c>
      <c r="D55" s="13" t="str">
        <f>D54</f>
        <v>100100</v>
      </c>
      <c r="E55" s="24" t="str">
        <f>E54</f>
        <v>10-20</v>
      </c>
      <c r="F55" s="39" t="s">
        <v>585</v>
      </c>
      <c r="G55" s="24" t="s">
        <v>585</v>
      </c>
      <c r="H55" s="136"/>
      <c r="I55" s="140"/>
      <c r="J55" s="136"/>
      <c r="K55" s="136"/>
      <c r="L55" s="139">
        <v>2</v>
      </c>
      <c r="M55" s="139">
        <v>0.0179</v>
      </c>
      <c r="N55" s="136">
        <f>L55*M55*$N$2</f>
        <v>112.23299999999999</v>
      </c>
      <c r="O55" s="11"/>
      <c r="P55" s="136"/>
      <c r="Q55" s="140"/>
      <c r="R55" s="136"/>
      <c r="S55" s="136"/>
      <c r="T55" s="136"/>
      <c r="U55" s="136">
        <f>H55+J55+K55+N55+P55+R55+S55+T55</f>
        <v>112.23299999999999</v>
      </c>
    </row>
    <row r="56" spans="1:21" s="5" customFormat="1" ht="15.75" outlineLevel="1">
      <c r="A56" s="170" t="s">
        <v>988</v>
      </c>
      <c r="B56" s="45"/>
      <c r="C56" s="45"/>
      <c r="D56" s="61"/>
      <c r="E56" s="44"/>
      <c r="F56" s="51"/>
      <c r="G56" s="45"/>
      <c r="H56" s="137">
        <f aca="true" t="shared" si="15" ref="H56:U56">SUBTOTAL(9,H54:H55)</f>
        <v>1.195404</v>
      </c>
      <c r="I56" s="167">
        <f t="shared" si="15"/>
        <v>1</v>
      </c>
      <c r="J56" s="137">
        <f t="shared" si="15"/>
        <v>0.06</v>
      </c>
      <c r="K56" s="137">
        <f t="shared" si="15"/>
        <v>15</v>
      </c>
      <c r="L56" s="141">
        <f t="shared" si="15"/>
        <v>2</v>
      </c>
      <c r="M56" s="141">
        <f t="shared" si="15"/>
        <v>0.0179</v>
      </c>
      <c r="N56" s="137">
        <f t="shared" si="15"/>
        <v>112.23299999999999</v>
      </c>
      <c r="O56" s="46">
        <f t="shared" si="15"/>
        <v>0</v>
      </c>
      <c r="P56" s="137">
        <f t="shared" si="15"/>
        <v>0</v>
      </c>
      <c r="Q56" s="167">
        <f t="shared" si="15"/>
        <v>0</v>
      </c>
      <c r="R56" s="137">
        <f t="shared" si="15"/>
        <v>0</v>
      </c>
      <c r="S56" s="137">
        <f t="shared" si="15"/>
        <v>0</v>
      </c>
      <c r="T56" s="171">
        <f t="shared" si="15"/>
        <v>0</v>
      </c>
      <c r="U56" s="137">
        <f t="shared" si="15"/>
        <v>128.488404</v>
      </c>
    </row>
    <row r="57" spans="1:21" ht="15" outlineLevel="2">
      <c r="A57" s="6" t="s">
        <v>549</v>
      </c>
      <c r="B57" s="7" t="s">
        <v>127</v>
      </c>
      <c r="C57" s="7" t="s">
        <v>533</v>
      </c>
      <c r="D57" s="8" t="s">
        <v>548</v>
      </c>
      <c r="E57" s="42" t="s">
        <v>396</v>
      </c>
      <c r="F57" s="39" t="s">
        <v>53</v>
      </c>
      <c r="G57" s="24" t="s">
        <v>62</v>
      </c>
      <c r="H57" s="136">
        <v>785.359456</v>
      </c>
      <c r="I57" s="149">
        <v>1984</v>
      </c>
      <c r="J57" s="136">
        <f>I57*$J$1</f>
        <v>198.4</v>
      </c>
      <c r="K57" s="136">
        <v>90</v>
      </c>
      <c r="L57" s="139"/>
      <c r="M57" s="139"/>
      <c r="N57" s="136"/>
      <c r="O57" s="11"/>
      <c r="P57" s="136"/>
      <c r="Q57" s="140"/>
      <c r="R57" s="136"/>
      <c r="S57" s="136"/>
      <c r="T57" s="136"/>
      <c r="U57" s="136">
        <f aca="true" t="shared" si="16" ref="U57:U64">H57+J57+K57+N57+P57+R57+S57+T57</f>
        <v>1073.759456</v>
      </c>
    </row>
    <row r="58" spans="1:21" ht="15" outlineLevel="2">
      <c r="A58" s="6" t="s">
        <v>549</v>
      </c>
      <c r="B58" s="7" t="s">
        <v>127</v>
      </c>
      <c r="C58" s="7" t="s">
        <v>533</v>
      </c>
      <c r="D58" s="8" t="s">
        <v>548</v>
      </c>
      <c r="E58" s="42" t="s">
        <v>396</v>
      </c>
      <c r="F58" s="39" t="s">
        <v>53</v>
      </c>
      <c r="G58" s="24" t="s">
        <v>63</v>
      </c>
      <c r="H58" s="136">
        <v>49.766556</v>
      </c>
      <c r="I58" s="149">
        <v>16</v>
      </c>
      <c r="J58" s="136">
        <f>I58*$J$2</f>
        <v>0.96</v>
      </c>
      <c r="K58" s="136">
        <v>15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t="shared" si="16"/>
        <v>65.726556</v>
      </c>
    </row>
    <row r="59" spans="1:21" ht="15" outlineLevel="2">
      <c r="A59" s="6" t="s">
        <v>549</v>
      </c>
      <c r="B59" s="7" t="s">
        <v>127</v>
      </c>
      <c r="C59" s="7" t="s">
        <v>533</v>
      </c>
      <c r="D59" s="8" t="s">
        <v>548</v>
      </c>
      <c r="E59" s="42" t="s">
        <v>396</v>
      </c>
      <c r="F59" s="39" t="s">
        <v>53</v>
      </c>
      <c r="G59" s="24" t="s">
        <v>64</v>
      </c>
      <c r="H59" s="136">
        <v>28.6571894</v>
      </c>
      <c r="I59" s="149">
        <v>24</v>
      </c>
      <c r="J59" s="136">
        <f>I59*$J$2</f>
        <v>1.44</v>
      </c>
      <c r="K59" s="136">
        <v>15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6"/>
        <v>45.097189400000005</v>
      </c>
    </row>
    <row r="60" spans="1:21" ht="15" outlineLevel="2">
      <c r="A60" s="6" t="s">
        <v>549</v>
      </c>
      <c r="B60" s="7" t="s">
        <v>127</v>
      </c>
      <c r="C60" s="7" t="s">
        <v>533</v>
      </c>
      <c r="D60" s="8" t="s">
        <v>548</v>
      </c>
      <c r="E60" s="42" t="s">
        <v>396</v>
      </c>
      <c r="F60" s="39" t="s">
        <v>53</v>
      </c>
      <c r="G60" s="24" t="s">
        <v>65</v>
      </c>
      <c r="H60" s="136">
        <v>40.780054</v>
      </c>
      <c r="I60" s="149">
        <v>82</v>
      </c>
      <c r="J60" s="136">
        <f>I60*$J$2</f>
        <v>4.92</v>
      </c>
      <c r="K60" s="136">
        <v>45</v>
      </c>
      <c r="L60" s="139"/>
      <c r="M60" s="139"/>
      <c r="N60" s="136"/>
      <c r="O60" s="11"/>
      <c r="P60" s="136"/>
      <c r="Q60" s="140"/>
      <c r="R60" s="136"/>
      <c r="S60" s="136"/>
      <c r="T60" s="136"/>
      <c r="U60" s="136">
        <f t="shared" si="16"/>
        <v>90.700054</v>
      </c>
    </row>
    <row r="61" spans="1:21" ht="15" outlineLevel="2">
      <c r="A61" s="6" t="s">
        <v>549</v>
      </c>
      <c r="B61" s="7" t="s">
        <v>127</v>
      </c>
      <c r="C61" s="7" t="s">
        <v>533</v>
      </c>
      <c r="D61" s="8" t="s">
        <v>548</v>
      </c>
      <c r="E61" s="42" t="s">
        <v>396</v>
      </c>
      <c r="F61" s="39" t="s">
        <v>53</v>
      </c>
      <c r="G61" s="24" t="s">
        <v>66</v>
      </c>
      <c r="H61" s="136">
        <v>9.529676799999999</v>
      </c>
      <c r="I61" s="149">
        <v>8</v>
      </c>
      <c r="J61" s="136">
        <f>I61*$J$2</f>
        <v>0.48</v>
      </c>
      <c r="K61" s="136">
        <v>15</v>
      </c>
      <c r="L61" s="139"/>
      <c r="M61" s="139"/>
      <c r="N61" s="136"/>
      <c r="O61" s="11"/>
      <c r="P61" s="136"/>
      <c r="Q61" s="140"/>
      <c r="R61" s="136"/>
      <c r="S61" s="136"/>
      <c r="T61" s="136"/>
      <c r="U61" s="136">
        <f t="shared" si="16"/>
        <v>25.0096768</v>
      </c>
    </row>
    <row r="62" spans="1:21" ht="15" outlineLevel="2">
      <c r="A62" s="6" t="s">
        <v>549</v>
      </c>
      <c r="B62" s="7" t="s">
        <v>127</v>
      </c>
      <c r="C62" s="7" t="s">
        <v>533</v>
      </c>
      <c r="D62" s="8" t="s">
        <v>548</v>
      </c>
      <c r="E62" s="42" t="s">
        <v>396</v>
      </c>
      <c r="F62" s="39" t="s">
        <v>53</v>
      </c>
      <c r="G62" s="24" t="s">
        <v>167</v>
      </c>
      <c r="H62" s="136">
        <v>0.7235339999999999</v>
      </c>
      <c r="I62" s="149">
        <v>1</v>
      </c>
      <c r="J62" s="136">
        <f>I62*$J$2</f>
        <v>0.06</v>
      </c>
      <c r="K62" s="136">
        <v>0</v>
      </c>
      <c r="L62" s="139"/>
      <c r="M62" s="139"/>
      <c r="N62" s="136"/>
      <c r="O62" s="11"/>
      <c r="P62" s="136"/>
      <c r="Q62" s="140"/>
      <c r="R62" s="136"/>
      <c r="S62" s="136"/>
      <c r="T62" s="136"/>
      <c r="U62" s="136">
        <f t="shared" si="16"/>
        <v>0.783534</v>
      </c>
    </row>
    <row r="63" spans="1:21" ht="15" outlineLevel="2">
      <c r="A63" s="6" t="str">
        <f>A62</f>
        <v>M920</v>
      </c>
      <c r="B63" s="11" t="str">
        <f>B62</f>
        <v>NDPT-6th</v>
      </c>
      <c r="C63" s="11" t="str">
        <f>C62</f>
        <v>ELECTED OFFICIALS</v>
      </c>
      <c r="D63" s="13" t="str">
        <f>D62</f>
        <v>100100</v>
      </c>
      <c r="E63" s="24" t="str">
        <f>E62</f>
        <v>10-20</v>
      </c>
      <c r="F63" s="39" t="s">
        <v>585</v>
      </c>
      <c r="G63" s="24" t="s">
        <v>585</v>
      </c>
      <c r="H63" s="136"/>
      <c r="I63" s="149"/>
      <c r="J63" s="136"/>
      <c r="K63" s="136"/>
      <c r="L63" s="139">
        <v>1</v>
      </c>
      <c r="M63" s="139">
        <v>0.112</v>
      </c>
      <c r="N63" s="136">
        <f>L63*M63*$N$2</f>
        <v>351.12</v>
      </c>
      <c r="O63" s="11"/>
      <c r="P63" s="136"/>
      <c r="Q63" s="140"/>
      <c r="R63" s="136"/>
      <c r="S63" s="136"/>
      <c r="T63" s="136"/>
      <c r="U63" s="136">
        <f t="shared" si="16"/>
        <v>351.12</v>
      </c>
    </row>
    <row r="64" spans="1:21" ht="15" outlineLevel="2">
      <c r="A64" s="28" t="s">
        <v>549</v>
      </c>
      <c r="B64" s="11" t="str">
        <f>B63</f>
        <v>NDPT-6th</v>
      </c>
      <c r="C64" s="11" t="str">
        <f>C63</f>
        <v>ELECTED OFFICIALS</v>
      </c>
      <c r="D64" s="13" t="str">
        <f>D63</f>
        <v>100100</v>
      </c>
      <c r="E64" s="38" t="str">
        <f>E63</f>
        <v>10-20</v>
      </c>
      <c r="F64" s="20" t="s">
        <v>615</v>
      </c>
      <c r="G64" s="11" t="s">
        <v>615</v>
      </c>
      <c r="H64" s="136"/>
      <c r="I64" s="140"/>
      <c r="J64" s="136"/>
      <c r="K64" s="136"/>
      <c r="L64" s="139"/>
      <c r="M64" s="139"/>
      <c r="N64" s="136"/>
      <c r="O64" s="29">
        <v>0.25</v>
      </c>
      <c r="P64" s="136">
        <f>O64*$P$2</f>
        <v>18</v>
      </c>
      <c r="Q64" s="140"/>
      <c r="R64" s="136"/>
      <c r="S64" s="136"/>
      <c r="T64" s="136"/>
      <c r="U64" s="136">
        <f t="shared" si="16"/>
        <v>18</v>
      </c>
    </row>
    <row r="65" spans="1:21" s="5" customFormat="1" ht="15.75" outlineLevel="1">
      <c r="A65" s="170" t="s">
        <v>989</v>
      </c>
      <c r="B65" s="45"/>
      <c r="C65" s="45"/>
      <c r="D65" s="61"/>
      <c r="E65" s="44"/>
      <c r="F65" s="51"/>
      <c r="G65" s="45"/>
      <c r="H65" s="137">
        <f aca="true" t="shared" si="17" ref="H65:U65">SUBTOTAL(9,H57:H64)</f>
        <v>914.8164661999999</v>
      </c>
      <c r="I65" s="167">
        <f t="shared" si="17"/>
        <v>2115</v>
      </c>
      <c r="J65" s="137">
        <f t="shared" si="17"/>
        <v>206.26</v>
      </c>
      <c r="K65" s="137">
        <f t="shared" si="17"/>
        <v>180</v>
      </c>
      <c r="L65" s="141">
        <f t="shared" si="17"/>
        <v>1</v>
      </c>
      <c r="M65" s="141">
        <f t="shared" si="17"/>
        <v>0.112</v>
      </c>
      <c r="N65" s="137">
        <f t="shared" si="17"/>
        <v>351.12</v>
      </c>
      <c r="O65" s="46">
        <f t="shared" si="17"/>
        <v>0.25</v>
      </c>
      <c r="P65" s="137">
        <f t="shared" si="17"/>
        <v>18</v>
      </c>
      <c r="Q65" s="167">
        <f t="shared" si="17"/>
        <v>0</v>
      </c>
      <c r="R65" s="137">
        <f t="shared" si="17"/>
        <v>0</v>
      </c>
      <c r="S65" s="137">
        <f t="shared" si="17"/>
        <v>0</v>
      </c>
      <c r="T65" s="171">
        <f t="shared" si="17"/>
        <v>0</v>
      </c>
      <c r="U65" s="137">
        <f t="shared" si="17"/>
        <v>1670.1964662</v>
      </c>
    </row>
    <row r="66" spans="1:21" ht="15" outlineLevel="2">
      <c r="A66" s="9" t="s">
        <v>29</v>
      </c>
      <c r="B66" s="25" t="s">
        <v>127</v>
      </c>
      <c r="C66" s="11" t="s">
        <v>555</v>
      </c>
      <c r="D66" s="13">
        <v>102100</v>
      </c>
      <c r="E66" s="27" t="s">
        <v>557</v>
      </c>
      <c r="F66" s="20" t="s">
        <v>585</v>
      </c>
      <c r="G66" s="27" t="s">
        <v>585</v>
      </c>
      <c r="H66" s="136"/>
      <c r="I66" s="140"/>
      <c r="J66" s="136"/>
      <c r="K66" s="136"/>
      <c r="L66" s="139">
        <v>2</v>
      </c>
      <c r="M66" s="139">
        <v>0.0179</v>
      </c>
      <c r="N66" s="136">
        <f>L66*M66*$N$2</f>
        <v>112.23299999999999</v>
      </c>
      <c r="O66" s="11"/>
      <c r="P66" s="136"/>
      <c r="Q66" s="140"/>
      <c r="R66" s="136"/>
      <c r="S66" s="136"/>
      <c r="T66" s="136"/>
      <c r="U66" s="136">
        <f>H66+J66+K66+N66+P66+R66+S66+T66</f>
        <v>112.23299999999999</v>
      </c>
    </row>
    <row r="67" spans="1:21" s="5" customFormat="1" ht="15.75" outlineLevel="1">
      <c r="A67" s="170" t="s">
        <v>990</v>
      </c>
      <c r="B67" s="45"/>
      <c r="C67" s="45"/>
      <c r="D67" s="61"/>
      <c r="E67" s="44"/>
      <c r="F67" s="51"/>
      <c r="G67" s="45"/>
      <c r="H67" s="137">
        <f aca="true" t="shared" si="18" ref="H67:U67">SUBTOTAL(9,H66:H66)</f>
        <v>0</v>
      </c>
      <c r="I67" s="167">
        <f t="shared" si="18"/>
        <v>0</v>
      </c>
      <c r="J67" s="137">
        <f t="shared" si="18"/>
        <v>0</v>
      </c>
      <c r="K67" s="137">
        <f t="shared" si="18"/>
        <v>0</v>
      </c>
      <c r="L67" s="141">
        <f t="shared" si="18"/>
        <v>2</v>
      </c>
      <c r="M67" s="141">
        <f t="shared" si="18"/>
        <v>0.0179</v>
      </c>
      <c r="N67" s="137">
        <f t="shared" si="18"/>
        <v>112.23299999999999</v>
      </c>
      <c r="O67" s="46">
        <f t="shared" si="18"/>
        <v>0</v>
      </c>
      <c r="P67" s="137">
        <f t="shared" si="18"/>
        <v>0</v>
      </c>
      <c r="Q67" s="167">
        <f t="shared" si="18"/>
        <v>0</v>
      </c>
      <c r="R67" s="137">
        <f t="shared" si="18"/>
        <v>0</v>
      </c>
      <c r="S67" s="137">
        <f t="shared" si="18"/>
        <v>0</v>
      </c>
      <c r="T67" s="171">
        <f t="shared" si="18"/>
        <v>0</v>
      </c>
      <c r="U67" s="137">
        <f t="shared" si="18"/>
        <v>112.23299999999999</v>
      </c>
    </row>
    <row r="68" spans="1:21" ht="15" outlineLevel="2">
      <c r="A68" s="6" t="s">
        <v>554</v>
      </c>
      <c r="B68" s="7" t="s">
        <v>127</v>
      </c>
      <c r="C68" s="7" t="s">
        <v>555</v>
      </c>
      <c r="D68" s="8" t="s">
        <v>556</v>
      </c>
      <c r="E68" s="42" t="s">
        <v>557</v>
      </c>
      <c r="F68" s="39" t="s">
        <v>53</v>
      </c>
      <c r="G68" s="24" t="s">
        <v>62</v>
      </c>
      <c r="H68" s="136">
        <v>73.6295462</v>
      </c>
      <c r="I68" s="149">
        <v>220</v>
      </c>
      <c r="J68" s="136">
        <f>I68*$J$1</f>
        <v>22</v>
      </c>
      <c r="K68" s="136">
        <v>120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aca="true" t="shared" si="19" ref="U68:U73">H68+J68+K68+N68+P68+R68+S68+T68</f>
        <v>215.6295462</v>
      </c>
    </row>
    <row r="69" spans="1:21" ht="15" outlineLevel="2">
      <c r="A69" s="6" t="s">
        <v>554</v>
      </c>
      <c r="B69" s="7" t="s">
        <v>127</v>
      </c>
      <c r="C69" s="7" t="s">
        <v>555</v>
      </c>
      <c r="D69" s="8" t="s">
        <v>556</v>
      </c>
      <c r="E69" s="42" t="s">
        <v>557</v>
      </c>
      <c r="F69" s="39" t="s">
        <v>53</v>
      </c>
      <c r="G69" s="24" t="s">
        <v>64</v>
      </c>
      <c r="H69" s="136">
        <v>13.0875766</v>
      </c>
      <c r="I69" s="149">
        <v>11</v>
      </c>
      <c r="J69" s="136">
        <f>I69*$J$2</f>
        <v>0.6599999999999999</v>
      </c>
      <c r="K69" s="136">
        <v>0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 t="shared" si="19"/>
        <v>13.7475766</v>
      </c>
    </row>
    <row r="70" spans="1:21" ht="15" outlineLevel="2">
      <c r="A70" s="6" t="s">
        <v>554</v>
      </c>
      <c r="B70" s="7" t="s">
        <v>127</v>
      </c>
      <c r="C70" s="7" t="s">
        <v>555</v>
      </c>
      <c r="D70" s="8" t="s">
        <v>556</v>
      </c>
      <c r="E70" s="42" t="s">
        <v>557</v>
      </c>
      <c r="F70" s="39" t="s">
        <v>53</v>
      </c>
      <c r="G70" s="24" t="s">
        <v>65</v>
      </c>
      <c r="H70" s="136">
        <v>48.8102328</v>
      </c>
      <c r="I70" s="149">
        <v>114</v>
      </c>
      <c r="J70" s="136">
        <f>I70*$J$2</f>
        <v>6.84</v>
      </c>
      <c r="K70" s="136">
        <v>60</v>
      </c>
      <c r="L70" s="139"/>
      <c r="M70" s="139"/>
      <c r="N70" s="136"/>
      <c r="O70" s="11"/>
      <c r="P70" s="136"/>
      <c r="Q70" s="140"/>
      <c r="R70" s="136"/>
      <c r="S70" s="136"/>
      <c r="T70" s="136"/>
      <c r="U70" s="136">
        <f t="shared" si="19"/>
        <v>115.6502328</v>
      </c>
    </row>
    <row r="71" spans="1:21" ht="15" outlineLevel="2">
      <c r="A71" s="6" t="s">
        <v>554</v>
      </c>
      <c r="B71" s="7" t="s">
        <v>127</v>
      </c>
      <c r="C71" s="7" t="s">
        <v>555</v>
      </c>
      <c r="D71" s="8" t="s">
        <v>556</v>
      </c>
      <c r="E71" s="42" t="s">
        <v>557</v>
      </c>
      <c r="F71" s="39" t="s">
        <v>53</v>
      </c>
      <c r="G71" s="11" t="s">
        <v>66</v>
      </c>
      <c r="H71" s="136">
        <v>0.7329713999999999</v>
      </c>
      <c r="I71" s="140">
        <v>1</v>
      </c>
      <c r="J71" s="136">
        <f>I71*$J$2</f>
        <v>0.06</v>
      </c>
      <c r="K71" s="136">
        <v>0</v>
      </c>
      <c r="L71" s="139"/>
      <c r="M71" s="139"/>
      <c r="N71" s="136"/>
      <c r="O71" s="11"/>
      <c r="P71" s="136"/>
      <c r="Q71" s="140"/>
      <c r="R71" s="136"/>
      <c r="S71" s="136"/>
      <c r="T71" s="136"/>
      <c r="U71" s="136">
        <f t="shared" si="19"/>
        <v>0.7929713999999999</v>
      </c>
    </row>
    <row r="72" spans="1:21" ht="15" outlineLevel="2">
      <c r="A72" s="6" t="str">
        <f>A71</f>
        <v>M923</v>
      </c>
      <c r="B72" s="11" t="str">
        <f>B71</f>
        <v>NDPT-6th</v>
      </c>
      <c r="C72" s="11" t="str">
        <f>C71</f>
        <v>COMMISSIONER, DIST. 1</v>
      </c>
      <c r="D72" s="13" t="str">
        <f>D71</f>
        <v>102100</v>
      </c>
      <c r="E72" s="24" t="str">
        <f>E71</f>
        <v>10-21</v>
      </c>
      <c r="F72" s="39" t="s">
        <v>585</v>
      </c>
      <c r="G72" s="24" t="s">
        <v>585</v>
      </c>
      <c r="H72" s="136"/>
      <c r="I72" s="140"/>
      <c r="J72" s="136"/>
      <c r="K72" s="136"/>
      <c r="L72" s="139">
        <v>1</v>
      </c>
      <c r="M72" s="139">
        <v>0.111</v>
      </c>
      <c r="N72" s="136">
        <f>L72*M72*$N$2</f>
        <v>347.985</v>
      </c>
      <c r="O72" s="11"/>
      <c r="P72" s="136"/>
      <c r="Q72" s="140"/>
      <c r="R72" s="136"/>
      <c r="S72" s="136"/>
      <c r="T72" s="136"/>
      <c r="U72" s="136">
        <f t="shared" si="19"/>
        <v>347.985</v>
      </c>
    </row>
    <row r="73" spans="1:21" ht="15" outlineLevel="2">
      <c r="A73" s="28" t="s">
        <v>554</v>
      </c>
      <c r="B73" s="11" t="str">
        <f>B72</f>
        <v>NDPT-6th</v>
      </c>
      <c r="C73" s="11" t="str">
        <f>C72</f>
        <v>COMMISSIONER, DIST. 1</v>
      </c>
      <c r="D73" s="13" t="str">
        <f>D72</f>
        <v>102100</v>
      </c>
      <c r="E73" s="38" t="str">
        <f>E72</f>
        <v>10-21</v>
      </c>
      <c r="F73" s="20" t="s">
        <v>615</v>
      </c>
      <c r="G73" s="11" t="s">
        <v>615</v>
      </c>
      <c r="H73" s="136"/>
      <c r="I73" s="140"/>
      <c r="J73" s="136"/>
      <c r="K73" s="136"/>
      <c r="L73" s="139"/>
      <c r="M73" s="139"/>
      <c r="N73" s="136"/>
      <c r="O73" s="29">
        <v>0.5</v>
      </c>
      <c r="P73" s="136">
        <f>O73*$P$2</f>
        <v>36</v>
      </c>
      <c r="Q73" s="140"/>
      <c r="R73" s="136"/>
      <c r="S73" s="136"/>
      <c r="T73" s="136"/>
      <c r="U73" s="136">
        <f t="shared" si="19"/>
        <v>36</v>
      </c>
    </row>
    <row r="74" spans="1:21" s="5" customFormat="1" ht="15.75" outlineLevel="1">
      <c r="A74" s="170" t="s">
        <v>991</v>
      </c>
      <c r="B74" s="45"/>
      <c r="C74" s="45"/>
      <c r="D74" s="61"/>
      <c r="E74" s="44"/>
      <c r="F74" s="51"/>
      <c r="G74" s="45"/>
      <c r="H74" s="137">
        <f aca="true" t="shared" si="20" ref="H74:U74">SUBTOTAL(9,H68:H73)</f>
        <v>136.260327</v>
      </c>
      <c r="I74" s="167">
        <f t="shared" si="20"/>
        <v>346</v>
      </c>
      <c r="J74" s="137">
        <f t="shared" si="20"/>
        <v>29.56</v>
      </c>
      <c r="K74" s="137">
        <f t="shared" si="20"/>
        <v>180</v>
      </c>
      <c r="L74" s="141">
        <f t="shared" si="20"/>
        <v>1</v>
      </c>
      <c r="M74" s="141">
        <f t="shared" si="20"/>
        <v>0.111</v>
      </c>
      <c r="N74" s="137">
        <f t="shared" si="20"/>
        <v>347.985</v>
      </c>
      <c r="O74" s="46">
        <f t="shared" si="20"/>
        <v>0.5</v>
      </c>
      <c r="P74" s="137">
        <f t="shared" si="20"/>
        <v>36</v>
      </c>
      <c r="Q74" s="167">
        <f t="shared" si="20"/>
        <v>0</v>
      </c>
      <c r="R74" s="137">
        <f t="shared" si="20"/>
        <v>0</v>
      </c>
      <c r="S74" s="137">
        <f t="shared" si="20"/>
        <v>0</v>
      </c>
      <c r="T74" s="171">
        <f t="shared" si="20"/>
        <v>0</v>
      </c>
      <c r="U74" s="137">
        <f t="shared" si="20"/>
        <v>729.805327</v>
      </c>
    </row>
    <row r="75" spans="1:21" ht="15" outlineLevel="2">
      <c r="A75" s="6" t="s">
        <v>558</v>
      </c>
      <c r="B75" s="7" t="s">
        <v>127</v>
      </c>
      <c r="C75" s="7" t="s">
        <v>559</v>
      </c>
      <c r="D75" s="8">
        <v>102210</v>
      </c>
      <c r="E75" s="42" t="s">
        <v>560</v>
      </c>
      <c r="F75" s="39" t="s">
        <v>53</v>
      </c>
      <c r="G75" s="24" t="s">
        <v>62</v>
      </c>
      <c r="H75" s="136">
        <v>45.171590800000004</v>
      </c>
      <c r="I75" s="149">
        <v>137</v>
      </c>
      <c r="J75" s="136">
        <f>I75*$J$1</f>
        <v>13.700000000000001</v>
      </c>
      <c r="K75" s="136">
        <v>60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aca="true" t="shared" si="21" ref="U75:U80">H75+J75+K75+N75+P75+R75+S75+T75</f>
        <v>118.8715908</v>
      </c>
    </row>
    <row r="76" spans="1:21" ht="15" outlineLevel="2">
      <c r="A76" s="6" t="s">
        <v>558</v>
      </c>
      <c r="B76" s="7" t="s">
        <v>127</v>
      </c>
      <c r="C76" s="7" t="s">
        <v>559</v>
      </c>
      <c r="D76" s="8">
        <v>102210</v>
      </c>
      <c r="E76" s="42" t="s">
        <v>560</v>
      </c>
      <c r="F76" s="39" t="s">
        <v>53</v>
      </c>
      <c r="G76" s="24" t="s">
        <v>63</v>
      </c>
      <c r="H76" s="136">
        <v>40.47596</v>
      </c>
      <c r="I76" s="149">
        <v>9</v>
      </c>
      <c r="J76" s="136">
        <f>I76*$J$2</f>
        <v>0.54</v>
      </c>
      <c r="K76" s="136">
        <v>0</v>
      </c>
      <c r="L76" s="139"/>
      <c r="M76" s="139"/>
      <c r="N76" s="136"/>
      <c r="O76" s="11"/>
      <c r="P76" s="136"/>
      <c r="Q76" s="140"/>
      <c r="R76" s="136"/>
      <c r="S76" s="136"/>
      <c r="T76" s="136"/>
      <c r="U76" s="136">
        <f t="shared" si="21"/>
        <v>41.01596</v>
      </c>
    </row>
    <row r="77" spans="1:21" ht="15" outlineLevel="2">
      <c r="A77" s="6" t="s">
        <v>558</v>
      </c>
      <c r="B77" s="7" t="s">
        <v>127</v>
      </c>
      <c r="C77" s="7" t="s">
        <v>559</v>
      </c>
      <c r="D77" s="8">
        <v>102210</v>
      </c>
      <c r="E77" s="42" t="s">
        <v>560</v>
      </c>
      <c r="F77" s="39" t="s">
        <v>53</v>
      </c>
      <c r="G77" s="24" t="s">
        <v>64</v>
      </c>
      <c r="H77" s="136">
        <v>4.278288</v>
      </c>
      <c r="I77" s="149">
        <v>4</v>
      </c>
      <c r="J77" s="136">
        <f>I77*$J$2</f>
        <v>0.24</v>
      </c>
      <c r="K77" s="136">
        <v>0</v>
      </c>
      <c r="L77" s="139"/>
      <c r="M77" s="139"/>
      <c r="N77" s="136"/>
      <c r="O77" s="11"/>
      <c r="P77" s="136"/>
      <c r="Q77" s="140"/>
      <c r="R77" s="136"/>
      <c r="S77" s="136"/>
      <c r="T77" s="136"/>
      <c r="U77" s="136">
        <f t="shared" si="21"/>
        <v>4.518288</v>
      </c>
    </row>
    <row r="78" spans="1:21" ht="15" outlineLevel="2">
      <c r="A78" s="6" t="s">
        <v>558</v>
      </c>
      <c r="B78" s="7" t="s">
        <v>127</v>
      </c>
      <c r="C78" s="7" t="s">
        <v>559</v>
      </c>
      <c r="D78" s="8">
        <v>102210</v>
      </c>
      <c r="E78" s="42" t="s">
        <v>560</v>
      </c>
      <c r="F78" s="39" t="s">
        <v>53</v>
      </c>
      <c r="G78" s="24" t="s">
        <v>65</v>
      </c>
      <c r="H78" s="136">
        <v>698.860442</v>
      </c>
      <c r="I78" s="149">
        <v>1626</v>
      </c>
      <c r="J78" s="136">
        <f>I78*$J$2</f>
        <v>97.56</v>
      </c>
      <c r="K78" s="136">
        <v>105</v>
      </c>
      <c r="L78" s="139"/>
      <c r="M78" s="139"/>
      <c r="N78" s="136"/>
      <c r="O78" s="11"/>
      <c r="P78" s="136"/>
      <c r="Q78" s="140"/>
      <c r="R78" s="136"/>
      <c r="S78" s="136"/>
      <c r="T78" s="136"/>
      <c r="U78" s="136">
        <f t="shared" si="21"/>
        <v>901.4204420000001</v>
      </c>
    </row>
    <row r="79" spans="1:21" ht="15" outlineLevel="2">
      <c r="A79" s="6" t="s">
        <v>558</v>
      </c>
      <c r="B79" s="7" t="s">
        <v>127</v>
      </c>
      <c r="C79" s="7" t="s">
        <v>559</v>
      </c>
      <c r="D79" s="8">
        <v>102210</v>
      </c>
      <c r="E79" s="42" t="s">
        <v>560</v>
      </c>
      <c r="F79" s="39" t="s">
        <v>53</v>
      </c>
      <c r="G79" s="11" t="s">
        <v>66</v>
      </c>
      <c r="H79" s="136">
        <v>0.7329713999999999</v>
      </c>
      <c r="I79" s="140">
        <v>1</v>
      </c>
      <c r="J79" s="136">
        <f>I79*$J$2</f>
        <v>0.06</v>
      </c>
      <c r="K79" s="136">
        <v>15</v>
      </c>
      <c r="L79" s="139"/>
      <c r="M79" s="139"/>
      <c r="N79" s="136"/>
      <c r="O79" s="11"/>
      <c r="P79" s="136"/>
      <c r="Q79" s="140"/>
      <c r="R79" s="136"/>
      <c r="S79" s="136"/>
      <c r="T79" s="136"/>
      <c r="U79" s="136">
        <f t="shared" si="21"/>
        <v>15.792971399999999</v>
      </c>
    </row>
    <row r="80" spans="1:21" ht="15" outlineLevel="2">
      <c r="A80" s="6" t="str">
        <f>A79</f>
        <v>M924</v>
      </c>
      <c r="B80" s="11" t="str">
        <f>B79</f>
        <v>NDPT-6th</v>
      </c>
      <c r="C80" s="11" t="str">
        <f>C79</f>
        <v>COMMISSIONER, DIST. 2</v>
      </c>
      <c r="D80" s="13">
        <f>D79</f>
        <v>102210</v>
      </c>
      <c r="E80" s="24" t="str">
        <f>E79</f>
        <v>10-22</v>
      </c>
      <c r="F80" s="39" t="s">
        <v>585</v>
      </c>
      <c r="G80" s="24" t="s">
        <v>585</v>
      </c>
      <c r="H80" s="136"/>
      <c r="I80" s="140"/>
      <c r="J80" s="136"/>
      <c r="K80" s="136"/>
      <c r="L80" s="139">
        <v>1</v>
      </c>
      <c r="M80" s="139">
        <v>0.111</v>
      </c>
      <c r="N80" s="136">
        <f>L80*M80*$N$2</f>
        <v>347.985</v>
      </c>
      <c r="O80" s="11"/>
      <c r="P80" s="136"/>
      <c r="Q80" s="140"/>
      <c r="R80" s="136"/>
      <c r="S80" s="136"/>
      <c r="T80" s="136"/>
      <c r="U80" s="136">
        <f t="shared" si="21"/>
        <v>347.985</v>
      </c>
    </row>
    <row r="81" spans="1:21" s="5" customFormat="1" ht="15.75" outlineLevel="1">
      <c r="A81" s="170" t="s">
        <v>992</v>
      </c>
      <c r="B81" s="45"/>
      <c r="C81" s="45"/>
      <c r="D81" s="61"/>
      <c r="E81" s="44"/>
      <c r="F81" s="51"/>
      <c r="G81" s="45"/>
      <c r="H81" s="137">
        <f aca="true" t="shared" si="22" ref="H81:U81">SUBTOTAL(9,H75:H80)</f>
        <v>789.5192522</v>
      </c>
      <c r="I81" s="167">
        <f t="shared" si="22"/>
        <v>1777</v>
      </c>
      <c r="J81" s="137">
        <f t="shared" si="22"/>
        <v>112.10000000000001</v>
      </c>
      <c r="K81" s="137">
        <f t="shared" si="22"/>
        <v>180</v>
      </c>
      <c r="L81" s="141">
        <f t="shared" si="22"/>
        <v>1</v>
      </c>
      <c r="M81" s="141">
        <f t="shared" si="22"/>
        <v>0.111</v>
      </c>
      <c r="N81" s="137">
        <f t="shared" si="22"/>
        <v>347.985</v>
      </c>
      <c r="O81" s="46">
        <f t="shared" si="22"/>
        <v>0</v>
      </c>
      <c r="P81" s="137">
        <f t="shared" si="22"/>
        <v>0</v>
      </c>
      <c r="Q81" s="167">
        <f t="shared" si="22"/>
        <v>0</v>
      </c>
      <c r="R81" s="137">
        <f t="shared" si="22"/>
        <v>0</v>
      </c>
      <c r="S81" s="137">
        <f t="shared" si="22"/>
        <v>0</v>
      </c>
      <c r="T81" s="171">
        <f t="shared" si="22"/>
        <v>0</v>
      </c>
      <c r="U81" s="137">
        <f t="shared" si="22"/>
        <v>1429.6042522000002</v>
      </c>
    </row>
    <row r="82" spans="1:21" ht="15" outlineLevel="2">
      <c r="A82" s="6" t="s">
        <v>561</v>
      </c>
      <c r="B82" s="7" t="s">
        <v>127</v>
      </c>
      <c r="C82" s="7" t="s">
        <v>562</v>
      </c>
      <c r="D82" s="8" t="s">
        <v>563</v>
      </c>
      <c r="E82" s="42" t="s">
        <v>564</v>
      </c>
      <c r="F82" s="39" t="s">
        <v>53</v>
      </c>
      <c r="G82" s="24" t="s">
        <v>62</v>
      </c>
      <c r="H82" s="136">
        <v>2.2901424</v>
      </c>
      <c r="I82" s="149">
        <v>7</v>
      </c>
      <c r="J82" s="136">
        <f>I82*$J$1</f>
        <v>0.7000000000000001</v>
      </c>
      <c r="K82" s="136">
        <v>15</v>
      </c>
      <c r="L82" s="139"/>
      <c r="M82" s="139"/>
      <c r="N82" s="136"/>
      <c r="O82" s="11"/>
      <c r="P82" s="136"/>
      <c r="Q82" s="140"/>
      <c r="R82" s="136"/>
      <c r="S82" s="136"/>
      <c r="T82" s="136"/>
      <c r="U82" s="136">
        <f aca="true" t="shared" si="23" ref="U82:U87">H82+J82+K82+N82+P82+R82+S82+T82</f>
        <v>17.9901424</v>
      </c>
    </row>
    <row r="83" spans="1:21" ht="15" outlineLevel="2">
      <c r="A83" s="6" t="s">
        <v>561</v>
      </c>
      <c r="B83" s="7" t="s">
        <v>127</v>
      </c>
      <c r="C83" s="7" t="s">
        <v>562</v>
      </c>
      <c r="D83" s="8" t="s">
        <v>563</v>
      </c>
      <c r="E83" s="42" t="s">
        <v>564</v>
      </c>
      <c r="F83" s="39" t="s">
        <v>53</v>
      </c>
      <c r="G83" s="24" t="s">
        <v>63</v>
      </c>
      <c r="H83" s="136">
        <v>6.941732</v>
      </c>
      <c r="I83" s="149">
        <v>3</v>
      </c>
      <c r="J83" s="136">
        <f>I83*$J$2</f>
        <v>0.18</v>
      </c>
      <c r="K83" s="136">
        <v>0</v>
      </c>
      <c r="L83" s="139"/>
      <c r="M83" s="139"/>
      <c r="N83" s="136"/>
      <c r="O83" s="11"/>
      <c r="P83" s="136"/>
      <c r="Q83" s="140"/>
      <c r="R83" s="136"/>
      <c r="S83" s="136"/>
      <c r="T83" s="136"/>
      <c r="U83" s="136">
        <f t="shared" si="23"/>
        <v>7.121732</v>
      </c>
    </row>
    <row r="84" spans="1:21" ht="15" outlineLevel="2">
      <c r="A84" s="6" t="s">
        <v>561</v>
      </c>
      <c r="B84" s="7" t="s">
        <v>127</v>
      </c>
      <c r="C84" s="7" t="s">
        <v>562</v>
      </c>
      <c r="D84" s="8" t="s">
        <v>563</v>
      </c>
      <c r="E84" s="42" t="s">
        <v>564</v>
      </c>
      <c r="F84" s="39" t="s">
        <v>53</v>
      </c>
      <c r="G84" s="24" t="s">
        <v>64</v>
      </c>
      <c r="H84" s="136">
        <v>12.897780000000001</v>
      </c>
      <c r="I84" s="149">
        <v>9</v>
      </c>
      <c r="J84" s="136">
        <f>I84*$J$2</f>
        <v>0.54</v>
      </c>
      <c r="K84" s="136">
        <v>15</v>
      </c>
      <c r="L84" s="139"/>
      <c r="M84" s="139"/>
      <c r="N84" s="136"/>
      <c r="O84" s="11"/>
      <c r="P84" s="136"/>
      <c r="Q84" s="140"/>
      <c r="R84" s="136"/>
      <c r="S84" s="136"/>
      <c r="T84" s="136"/>
      <c r="U84" s="136">
        <f t="shared" si="23"/>
        <v>28.43778</v>
      </c>
    </row>
    <row r="85" spans="1:21" ht="15" outlineLevel="2">
      <c r="A85" s="6" t="s">
        <v>561</v>
      </c>
      <c r="B85" s="7" t="s">
        <v>127</v>
      </c>
      <c r="C85" s="7" t="s">
        <v>562</v>
      </c>
      <c r="D85" s="8" t="s">
        <v>563</v>
      </c>
      <c r="E85" s="42" t="s">
        <v>564</v>
      </c>
      <c r="F85" s="39" t="s">
        <v>53</v>
      </c>
      <c r="G85" s="24" t="s">
        <v>65</v>
      </c>
      <c r="H85" s="136">
        <v>14.10367</v>
      </c>
      <c r="I85" s="149">
        <v>27</v>
      </c>
      <c r="J85" s="136">
        <f>I85*$J$2</f>
        <v>1.6199999999999999</v>
      </c>
      <c r="K85" s="136">
        <v>90</v>
      </c>
      <c r="L85" s="139"/>
      <c r="M85" s="139"/>
      <c r="N85" s="136"/>
      <c r="O85" s="11"/>
      <c r="P85" s="136"/>
      <c r="Q85" s="140"/>
      <c r="R85" s="136"/>
      <c r="S85" s="136"/>
      <c r="T85" s="136"/>
      <c r="U85" s="136">
        <f t="shared" si="23"/>
        <v>105.72367</v>
      </c>
    </row>
    <row r="86" spans="1:21" ht="15" outlineLevel="2">
      <c r="A86" s="6" t="s">
        <v>561</v>
      </c>
      <c r="B86" s="7" t="s">
        <v>127</v>
      </c>
      <c r="C86" s="7" t="s">
        <v>562</v>
      </c>
      <c r="D86" s="8" t="s">
        <v>563</v>
      </c>
      <c r="E86" s="42" t="s">
        <v>564</v>
      </c>
      <c r="F86" s="39" t="s">
        <v>53</v>
      </c>
      <c r="G86" s="24" t="s">
        <v>66</v>
      </c>
      <c r="H86" s="136">
        <v>0.9112334</v>
      </c>
      <c r="I86" s="149">
        <v>1</v>
      </c>
      <c r="J86" s="136">
        <f>I86*$J$2</f>
        <v>0.06</v>
      </c>
      <c r="K86" s="136">
        <v>0</v>
      </c>
      <c r="L86" s="139"/>
      <c r="M86" s="139"/>
      <c r="N86" s="136"/>
      <c r="O86" s="11"/>
      <c r="P86" s="136"/>
      <c r="Q86" s="140"/>
      <c r="R86" s="136"/>
      <c r="S86" s="136"/>
      <c r="T86" s="136"/>
      <c r="U86" s="136">
        <f t="shared" si="23"/>
        <v>0.9712334</v>
      </c>
    </row>
    <row r="87" spans="1:21" ht="15" outlineLevel="2">
      <c r="A87" s="6" t="str">
        <f>A86</f>
        <v>M925</v>
      </c>
      <c r="B87" s="11" t="str">
        <f>B86</f>
        <v>NDPT-6th</v>
      </c>
      <c r="C87" s="11" t="str">
        <f>C86</f>
        <v>COMMISSIONER, DIST. 3</v>
      </c>
      <c r="D87" s="13" t="str">
        <f>D86</f>
        <v>102300</v>
      </c>
      <c r="E87" s="24" t="str">
        <f>E86</f>
        <v>10-23</v>
      </c>
      <c r="F87" s="39" t="s">
        <v>585</v>
      </c>
      <c r="G87" s="24" t="s">
        <v>585</v>
      </c>
      <c r="H87" s="136"/>
      <c r="I87" s="149"/>
      <c r="J87" s="136"/>
      <c r="K87" s="136"/>
      <c r="L87" s="139">
        <v>1</v>
      </c>
      <c r="M87" s="139">
        <v>0.111</v>
      </c>
      <c r="N87" s="136">
        <f>L87*M87*$N$2</f>
        <v>347.985</v>
      </c>
      <c r="O87" s="11"/>
      <c r="P87" s="136"/>
      <c r="Q87" s="140"/>
      <c r="R87" s="136"/>
      <c r="S87" s="136"/>
      <c r="T87" s="136"/>
      <c r="U87" s="136">
        <f t="shared" si="23"/>
        <v>347.985</v>
      </c>
    </row>
    <row r="88" spans="1:21" s="5" customFormat="1" ht="15.75" outlineLevel="1">
      <c r="A88" s="170" t="s">
        <v>993</v>
      </c>
      <c r="B88" s="45"/>
      <c r="C88" s="45"/>
      <c r="D88" s="61"/>
      <c r="E88" s="44"/>
      <c r="F88" s="51"/>
      <c r="G88" s="45"/>
      <c r="H88" s="137">
        <f aca="true" t="shared" si="24" ref="H88:U88">SUBTOTAL(9,H82:H87)</f>
        <v>37.1445578</v>
      </c>
      <c r="I88" s="167">
        <f t="shared" si="24"/>
        <v>47</v>
      </c>
      <c r="J88" s="137">
        <f t="shared" si="24"/>
        <v>3.1</v>
      </c>
      <c r="K88" s="137">
        <f t="shared" si="24"/>
        <v>120</v>
      </c>
      <c r="L88" s="141">
        <f t="shared" si="24"/>
        <v>1</v>
      </c>
      <c r="M88" s="141">
        <f t="shared" si="24"/>
        <v>0.111</v>
      </c>
      <c r="N88" s="137">
        <f t="shared" si="24"/>
        <v>347.985</v>
      </c>
      <c r="O88" s="46">
        <f t="shared" si="24"/>
        <v>0</v>
      </c>
      <c r="P88" s="137">
        <f t="shared" si="24"/>
        <v>0</v>
      </c>
      <c r="Q88" s="167">
        <f t="shared" si="24"/>
        <v>0</v>
      </c>
      <c r="R88" s="137">
        <f t="shared" si="24"/>
        <v>0</v>
      </c>
      <c r="S88" s="137">
        <f t="shared" si="24"/>
        <v>0</v>
      </c>
      <c r="T88" s="171">
        <f t="shared" si="24"/>
        <v>0</v>
      </c>
      <c r="U88" s="137">
        <f t="shared" si="24"/>
        <v>508.22955779999995</v>
      </c>
    </row>
    <row r="89" spans="1:21" ht="15" outlineLevel="2">
      <c r="A89" s="9" t="s">
        <v>30</v>
      </c>
      <c r="B89" s="25" t="s">
        <v>127</v>
      </c>
      <c r="C89" s="16" t="s">
        <v>562</v>
      </c>
      <c r="D89" s="13">
        <v>102300</v>
      </c>
      <c r="E89" s="27" t="s">
        <v>564</v>
      </c>
      <c r="F89" s="20" t="s">
        <v>585</v>
      </c>
      <c r="G89" s="27" t="s">
        <v>585</v>
      </c>
      <c r="H89" s="136"/>
      <c r="I89" s="140"/>
      <c r="J89" s="136"/>
      <c r="K89" s="136"/>
      <c r="L89" s="139">
        <v>2</v>
      </c>
      <c r="M89" s="139">
        <v>0.0179</v>
      </c>
      <c r="N89" s="136">
        <f>L89*M89*$N$2</f>
        <v>112.23299999999999</v>
      </c>
      <c r="O89" s="11"/>
      <c r="P89" s="136"/>
      <c r="Q89" s="140"/>
      <c r="R89" s="136"/>
      <c r="S89" s="136"/>
      <c r="T89" s="136"/>
      <c r="U89" s="136">
        <f>H89+J89+K89+N89+P89+R89+S89+T89</f>
        <v>112.23299999999999</v>
      </c>
    </row>
    <row r="90" spans="1:21" s="5" customFormat="1" ht="15.75" outlineLevel="1">
      <c r="A90" s="170" t="s">
        <v>994</v>
      </c>
      <c r="B90" s="45"/>
      <c r="C90" s="45"/>
      <c r="D90" s="61"/>
      <c r="E90" s="44"/>
      <c r="F90" s="51"/>
      <c r="G90" s="45"/>
      <c r="H90" s="137">
        <f aca="true" t="shared" si="25" ref="H90:U90">SUBTOTAL(9,H89:H89)</f>
        <v>0</v>
      </c>
      <c r="I90" s="167">
        <f t="shared" si="25"/>
        <v>0</v>
      </c>
      <c r="J90" s="137">
        <f t="shared" si="25"/>
        <v>0</v>
      </c>
      <c r="K90" s="137">
        <f t="shared" si="25"/>
        <v>0</v>
      </c>
      <c r="L90" s="141">
        <f t="shared" si="25"/>
        <v>2</v>
      </c>
      <c r="M90" s="141">
        <f t="shared" si="25"/>
        <v>0.0179</v>
      </c>
      <c r="N90" s="137">
        <f t="shared" si="25"/>
        <v>112.23299999999999</v>
      </c>
      <c r="O90" s="46">
        <f t="shared" si="25"/>
        <v>0</v>
      </c>
      <c r="P90" s="137">
        <f t="shared" si="25"/>
        <v>0</v>
      </c>
      <c r="Q90" s="167">
        <f t="shared" si="25"/>
        <v>0</v>
      </c>
      <c r="R90" s="137">
        <f t="shared" si="25"/>
        <v>0</v>
      </c>
      <c r="S90" s="137">
        <f t="shared" si="25"/>
        <v>0</v>
      </c>
      <c r="T90" s="171">
        <f t="shared" si="25"/>
        <v>0</v>
      </c>
      <c r="U90" s="137">
        <f t="shared" si="25"/>
        <v>112.23299999999999</v>
      </c>
    </row>
    <row r="91" spans="1:21" ht="15" outlineLevel="2">
      <c r="A91" s="6" t="s">
        <v>565</v>
      </c>
      <c r="B91" s="7" t="s">
        <v>127</v>
      </c>
      <c r="C91" s="7" t="s">
        <v>566</v>
      </c>
      <c r="D91" s="8" t="s">
        <v>567</v>
      </c>
      <c r="E91" s="42" t="s">
        <v>568</v>
      </c>
      <c r="F91" s="39" t="s">
        <v>53</v>
      </c>
      <c r="G91" s="24" t="s">
        <v>62</v>
      </c>
      <c r="H91" s="136">
        <v>248.32945199999997</v>
      </c>
      <c r="I91" s="149">
        <v>759</v>
      </c>
      <c r="J91" s="136">
        <f>I91*$J$1</f>
        <v>75.9</v>
      </c>
      <c r="K91" s="136">
        <v>30</v>
      </c>
      <c r="L91" s="139"/>
      <c r="M91" s="139"/>
      <c r="N91" s="136"/>
      <c r="O91" s="11"/>
      <c r="P91" s="136"/>
      <c r="Q91" s="140"/>
      <c r="R91" s="136"/>
      <c r="S91" s="136"/>
      <c r="T91" s="136"/>
      <c r="U91" s="136">
        <f>H91+J91+K91+N91+P91+R91+S91+T91</f>
        <v>354.229452</v>
      </c>
    </row>
    <row r="92" spans="1:21" ht="15" outlineLevel="2">
      <c r="A92" s="6" t="s">
        <v>565</v>
      </c>
      <c r="B92" s="7" t="s">
        <v>127</v>
      </c>
      <c r="C92" s="7" t="s">
        <v>566</v>
      </c>
      <c r="D92" s="8" t="s">
        <v>567</v>
      </c>
      <c r="E92" s="42" t="s">
        <v>568</v>
      </c>
      <c r="F92" s="39" t="s">
        <v>53</v>
      </c>
      <c r="G92" s="11" t="s">
        <v>63</v>
      </c>
      <c r="H92" s="136">
        <v>1.184918</v>
      </c>
      <c r="I92" s="140">
        <v>1</v>
      </c>
      <c r="J92" s="136">
        <f>I92*$J$2</f>
        <v>0.06</v>
      </c>
      <c r="K92" s="136">
        <v>0</v>
      </c>
      <c r="L92" s="139"/>
      <c r="M92" s="139"/>
      <c r="N92" s="136"/>
      <c r="O92" s="11"/>
      <c r="P92" s="136"/>
      <c r="Q92" s="140"/>
      <c r="R92" s="136"/>
      <c r="S92" s="136"/>
      <c r="T92" s="136"/>
      <c r="U92" s="136">
        <f>H92+J92+K92+N92+P92+R92+S92+T92</f>
        <v>1.244918</v>
      </c>
    </row>
    <row r="93" spans="1:21" ht="15" outlineLevel="2">
      <c r="A93" s="6" t="s">
        <v>565</v>
      </c>
      <c r="B93" s="7" t="s">
        <v>127</v>
      </c>
      <c r="C93" s="7" t="s">
        <v>566</v>
      </c>
      <c r="D93" s="8" t="s">
        <v>567</v>
      </c>
      <c r="E93" s="42" t="s">
        <v>568</v>
      </c>
      <c r="F93" s="39" t="s">
        <v>53</v>
      </c>
      <c r="G93" s="11" t="s">
        <v>64</v>
      </c>
      <c r="H93" s="136">
        <v>5.1737924</v>
      </c>
      <c r="I93" s="149">
        <v>4</v>
      </c>
      <c r="J93" s="136">
        <f>I93*$J$2</f>
        <v>0.24</v>
      </c>
      <c r="K93" s="136">
        <v>30</v>
      </c>
      <c r="L93" s="139"/>
      <c r="M93" s="139"/>
      <c r="N93" s="136"/>
      <c r="O93" s="11"/>
      <c r="P93" s="136"/>
      <c r="Q93" s="140"/>
      <c r="R93" s="136"/>
      <c r="S93" s="136"/>
      <c r="T93" s="136"/>
      <c r="U93" s="136">
        <f>H93+J93+K93+N93+P93+R93+S93+T93</f>
        <v>35.4137924</v>
      </c>
    </row>
    <row r="94" spans="1:21" ht="15" outlineLevel="2">
      <c r="A94" s="6" t="str">
        <f>A93</f>
        <v>M927</v>
      </c>
      <c r="B94" s="11" t="str">
        <f>B93</f>
        <v>NDPT-6th</v>
      </c>
      <c r="C94" s="11" t="str">
        <f>C93</f>
        <v>COMMISSIONER, DIST. 4</v>
      </c>
      <c r="D94" s="13" t="str">
        <f>D93</f>
        <v>102400</v>
      </c>
      <c r="E94" s="24" t="str">
        <f>E93</f>
        <v>10-24</v>
      </c>
      <c r="F94" s="39" t="s">
        <v>585</v>
      </c>
      <c r="G94" s="24" t="s">
        <v>585</v>
      </c>
      <c r="H94" s="136"/>
      <c r="I94" s="149"/>
      <c r="J94" s="136"/>
      <c r="K94" s="136"/>
      <c r="L94" s="139">
        <v>1</v>
      </c>
      <c r="M94" s="139">
        <v>0.111</v>
      </c>
      <c r="N94" s="136">
        <f>L94*M94*$N$2</f>
        <v>347.985</v>
      </c>
      <c r="O94" s="11"/>
      <c r="P94" s="136"/>
      <c r="Q94" s="140"/>
      <c r="R94" s="136"/>
      <c r="S94" s="136"/>
      <c r="T94" s="136"/>
      <c r="U94" s="136">
        <f>H94+J94+K94+N94+P94+R94+S94+T94</f>
        <v>347.985</v>
      </c>
    </row>
    <row r="95" spans="1:21" s="5" customFormat="1" ht="15.75" outlineLevel="1">
      <c r="A95" s="170" t="s">
        <v>995</v>
      </c>
      <c r="B95" s="45"/>
      <c r="C95" s="45"/>
      <c r="D95" s="61"/>
      <c r="E95" s="44"/>
      <c r="F95" s="51"/>
      <c r="G95" s="45"/>
      <c r="H95" s="137">
        <f aca="true" t="shared" si="26" ref="H95:U95">SUBTOTAL(9,H91:H94)</f>
        <v>254.68816239999998</v>
      </c>
      <c r="I95" s="167">
        <f t="shared" si="26"/>
        <v>764</v>
      </c>
      <c r="J95" s="137">
        <f t="shared" si="26"/>
        <v>76.2</v>
      </c>
      <c r="K95" s="137">
        <f t="shared" si="26"/>
        <v>60</v>
      </c>
      <c r="L95" s="141">
        <f t="shared" si="26"/>
        <v>1</v>
      </c>
      <c r="M95" s="141">
        <f t="shared" si="26"/>
        <v>0.111</v>
      </c>
      <c r="N95" s="137">
        <f t="shared" si="26"/>
        <v>347.985</v>
      </c>
      <c r="O95" s="46">
        <f t="shared" si="26"/>
        <v>0</v>
      </c>
      <c r="P95" s="137">
        <f t="shared" si="26"/>
        <v>0</v>
      </c>
      <c r="Q95" s="167">
        <f t="shared" si="26"/>
        <v>0</v>
      </c>
      <c r="R95" s="137">
        <f t="shared" si="26"/>
        <v>0</v>
      </c>
      <c r="S95" s="137">
        <f t="shared" si="26"/>
        <v>0</v>
      </c>
      <c r="T95" s="171">
        <f t="shared" si="26"/>
        <v>0</v>
      </c>
      <c r="U95" s="137">
        <f t="shared" si="26"/>
        <v>738.8731624</v>
      </c>
    </row>
    <row r="96" spans="1:21" ht="15" outlineLevel="2">
      <c r="A96" s="9" t="s">
        <v>31</v>
      </c>
      <c r="B96" s="25" t="s">
        <v>127</v>
      </c>
      <c r="C96" s="16" t="s">
        <v>566</v>
      </c>
      <c r="D96" s="13">
        <v>102400</v>
      </c>
      <c r="E96" s="27" t="s">
        <v>568</v>
      </c>
      <c r="F96" s="20" t="s">
        <v>585</v>
      </c>
      <c r="G96" s="27" t="s">
        <v>585</v>
      </c>
      <c r="H96" s="136"/>
      <c r="I96" s="140"/>
      <c r="J96" s="136"/>
      <c r="K96" s="136"/>
      <c r="L96" s="139">
        <v>2</v>
      </c>
      <c r="M96" s="139">
        <v>0.0179</v>
      </c>
      <c r="N96" s="136">
        <f>L96*M96*$N$2</f>
        <v>112.23299999999999</v>
      </c>
      <c r="O96" s="11"/>
      <c r="P96" s="136"/>
      <c r="Q96" s="140"/>
      <c r="R96" s="136"/>
      <c r="S96" s="136"/>
      <c r="T96" s="136"/>
      <c r="U96" s="136">
        <f>H96+J96+K96+N96+P96+R96+S96+T96</f>
        <v>112.23299999999999</v>
      </c>
    </row>
    <row r="97" spans="1:21" s="5" customFormat="1" ht="15.75" outlineLevel="1">
      <c r="A97" s="170" t="s">
        <v>996</v>
      </c>
      <c r="B97" s="45"/>
      <c r="C97" s="45"/>
      <c r="D97" s="61"/>
      <c r="E97" s="44"/>
      <c r="F97" s="51"/>
      <c r="G97" s="45"/>
      <c r="H97" s="137">
        <f aca="true" t="shared" si="27" ref="H97:U97">SUBTOTAL(9,H96:H96)</f>
        <v>0</v>
      </c>
      <c r="I97" s="167">
        <f t="shared" si="27"/>
        <v>0</v>
      </c>
      <c r="J97" s="137">
        <f t="shared" si="27"/>
        <v>0</v>
      </c>
      <c r="K97" s="137">
        <f t="shared" si="27"/>
        <v>0</v>
      </c>
      <c r="L97" s="141">
        <f t="shared" si="27"/>
        <v>2</v>
      </c>
      <c r="M97" s="141">
        <f t="shared" si="27"/>
        <v>0.0179</v>
      </c>
      <c r="N97" s="137">
        <f t="shared" si="27"/>
        <v>112.23299999999999</v>
      </c>
      <c r="O97" s="46">
        <f t="shared" si="27"/>
        <v>0</v>
      </c>
      <c r="P97" s="137">
        <f t="shared" si="27"/>
        <v>0</v>
      </c>
      <c r="Q97" s="167">
        <f t="shared" si="27"/>
        <v>0</v>
      </c>
      <c r="R97" s="137">
        <f t="shared" si="27"/>
        <v>0</v>
      </c>
      <c r="S97" s="137">
        <f t="shared" si="27"/>
        <v>0</v>
      </c>
      <c r="T97" s="171">
        <f t="shared" si="27"/>
        <v>0</v>
      </c>
      <c r="U97" s="137">
        <f t="shared" si="27"/>
        <v>112.23299999999999</v>
      </c>
    </row>
    <row r="98" spans="1:21" ht="15" outlineLevel="2">
      <c r="A98" s="6" t="s">
        <v>569</v>
      </c>
      <c r="B98" s="7" t="s">
        <v>127</v>
      </c>
      <c r="C98" s="7" t="s">
        <v>559</v>
      </c>
      <c r="D98" s="8" t="s">
        <v>570</v>
      </c>
      <c r="E98" s="42" t="s">
        <v>560</v>
      </c>
      <c r="F98" s="39" t="s">
        <v>53</v>
      </c>
      <c r="G98" s="24" t="s">
        <v>64</v>
      </c>
      <c r="H98" s="136">
        <v>7.28777</v>
      </c>
      <c r="I98" s="149">
        <v>5</v>
      </c>
      <c r="J98" s="136">
        <f>I98*$J$2</f>
        <v>0.3</v>
      </c>
      <c r="K98" s="136">
        <v>15</v>
      </c>
      <c r="L98" s="139"/>
      <c r="M98" s="139"/>
      <c r="N98" s="136"/>
      <c r="O98" s="11"/>
      <c r="P98" s="136"/>
      <c r="Q98" s="140"/>
      <c r="R98" s="136"/>
      <c r="S98" s="136"/>
      <c r="T98" s="136"/>
      <c r="U98" s="136">
        <f>H98+J98+K98+N98+P98+R98+S98+T98</f>
        <v>22.58777</v>
      </c>
    </row>
    <row r="99" spans="1:21" ht="15" outlineLevel="2">
      <c r="A99" s="6" t="str">
        <f>A98</f>
        <v>M929</v>
      </c>
      <c r="B99" s="11" t="str">
        <f>B98</f>
        <v>NDPT-6th</v>
      </c>
      <c r="C99" s="11" t="str">
        <f>C98</f>
        <v>COMMISSIONER, DIST. 2</v>
      </c>
      <c r="D99" s="13" t="str">
        <f>D98</f>
        <v>102200</v>
      </c>
      <c r="E99" s="24" t="str">
        <f>E98</f>
        <v>10-22</v>
      </c>
      <c r="F99" s="39" t="s">
        <v>585</v>
      </c>
      <c r="G99" s="24" t="s">
        <v>585</v>
      </c>
      <c r="H99" s="136"/>
      <c r="I99" s="149"/>
      <c r="J99" s="136"/>
      <c r="K99" s="136"/>
      <c r="L99" s="139">
        <v>2</v>
      </c>
      <c r="M99" s="139">
        <v>0.0179</v>
      </c>
      <c r="N99" s="136">
        <f>L99*M99*$N$2</f>
        <v>112.23299999999999</v>
      </c>
      <c r="O99" s="11"/>
      <c r="P99" s="136"/>
      <c r="Q99" s="140"/>
      <c r="R99" s="136"/>
      <c r="S99" s="136"/>
      <c r="T99" s="136"/>
      <c r="U99" s="136">
        <f>H99+J99+K99+N99+P99+R99+S99+T99</f>
        <v>112.23299999999999</v>
      </c>
    </row>
    <row r="100" spans="1:21" s="5" customFormat="1" ht="15.75" outlineLevel="1">
      <c r="A100" s="170" t="s">
        <v>997</v>
      </c>
      <c r="B100" s="45"/>
      <c r="C100" s="45"/>
      <c r="D100" s="61"/>
      <c r="E100" s="44"/>
      <c r="F100" s="51"/>
      <c r="G100" s="45"/>
      <c r="H100" s="137">
        <f aca="true" t="shared" si="28" ref="H100:U100">SUBTOTAL(9,H98:H99)</f>
        <v>7.28777</v>
      </c>
      <c r="I100" s="167">
        <f t="shared" si="28"/>
        <v>5</v>
      </c>
      <c r="J100" s="137">
        <f t="shared" si="28"/>
        <v>0.3</v>
      </c>
      <c r="K100" s="137">
        <f t="shared" si="28"/>
        <v>15</v>
      </c>
      <c r="L100" s="141">
        <f t="shared" si="28"/>
        <v>2</v>
      </c>
      <c r="M100" s="141">
        <f t="shared" si="28"/>
        <v>0.0179</v>
      </c>
      <c r="N100" s="137">
        <f t="shared" si="28"/>
        <v>112.23299999999999</v>
      </c>
      <c r="O100" s="46">
        <f t="shared" si="28"/>
        <v>0</v>
      </c>
      <c r="P100" s="137">
        <f t="shared" si="28"/>
        <v>0</v>
      </c>
      <c r="Q100" s="167">
        <f t="shared" si="28"/>
        <v>0</v>
      </c>
      <c r="R100" s="137">
        <f t="shared" si="28"/>
        <v>0</v>
      </c>
      <c r="S100" s="137">
        <f t="shared" si="28"/>
        <v>0</v>
      </c>
      <c r="T100" s="171">
        <f t="shared" si="28"/>
        <v>0</v>
      </c>
      <c r="U100" s="137">
        <f t="shared" si="28"/>
        <v>134.82076999999998</v>
      </c>
    </row>
    <row r="101" spans="1:21" ht="15" outlineLevel="2">
      <c r="A101" s="9" t="s">
        <v>32</v>
      </c>
      <c r="B101" s="25" t="s">
        <v>127</v>
      </c>
      <c r="C101" s="11" t="s">
        <v>607</v>
      </c>
      <c r="D101" s="13">
        <v>108925</v>
      </c>
      <c r="E101" s="27" t="s">
        <v>575</v>
      </c>
      <c r="F101" s="20" t="s">
        <v>585</v>
      </c>
      <c r="G101" s="27" t="s">
        <v>585</v>
      </c>
      <c r="H101" s="136"/>
      <c r="I101" s="140"/>
      <c r="J101" s="136"/>
      <c r="K101" s="136"/>
      <c r="L101" s="139">
        <v>2</v>
      </c>
      <c r="M101" s="139">
        <v>0.0177</v>
      </c>
      <c r="N101" s="136">
        <f>L101*M101*$N$2</f>
        <v>110.979</v>
      </c>
      <c r="O101" s="11"/>
      <c r="P101" s="136"/>
      <c r="Q101" s="140"/>
      <c r="R101" s="136"/>
      <c r="S101" s="136"/>
      <c r="T101" s="136"/>
      <c r="U101" s="136">
        <f>H101+J101+K101+N101+P101+R101+S101+T101</f>
        <v>110.979</v>
      </c>
    </row>
    <row r="102" spans="1:21" s="5" customFormat="1" ht="15.75" outlineLevel="1">
      <c r="A102" s="170" t="s">
        <v>998</v>
      </c>
      <c r="B102" s="45"/>
      <c r="C102" s="45"/>
      <c r="D102" s="61"/>
      <c r="E102" s="44"/>
      <c r="F102" s="51"/>
      <c r="G102" s="45"/>
      <c r="H102" s="137">
        <f aca="true" t="shared" si="29" ref="H102:U102">SUBTOTAL(9,H101:H101)</f>
        <v>0</v>
      </c>
      <c r="I102" s="167">
        <f t="shared" si="29"/>
        <v>0</v>
      </c>
      <c r="J102" s="137">
        <f t="shared" si="29"/>
        <v>0</v>
      </c>
      <c r="K102" s="137">
        <f t="shared" si="29"/>
        <v>0</v>
      </c>
      <c r="L102" s="141">
        <f t="shared" si="29"/>
        <v>2</v>
      </c>
      <c r="M102" s="141">
        <f t="shared" si="29"/>
        <v>0.0177</v>
      </c>
      <c r="N102" s="137">
        <f t="shared" si="29"/>
        <v>110.979</v>
      </c>
      <c r="O102" s="46">
        <f t="shared" si="29"/>
        <v>0</v>
      </c>
      <c r="P102" s="137">
        <f t="shared" si="29"/>
        <v>0</v>
      </c>
      <c r="Q102" s="167">
        <f t="shared" si="29"/>
        <v>0</v>
      </c>
      <c r="R102" s="137">
        <f t="shared" si="29"/>
        <v>0</v>
      </c>
      <c r="S102" s="137">
        <f t="shared" si="29"/>
        <v>0</v>
      </c>
      <c r="T102" s="171">
        <f t="shared" si="29"/>
        <v>0</v>
      </c>
      <c r="U102" s="137">
        <f t="shared" si="29"/>
        <v>110.979</v>
      </c>
    </row>
    <row r="103" spans="1:21" ht="15" outlineLevel="2">
      <c r="A103" s="6" t="s">
        <v>573</v>
      </c>
      <c r="B103" s="7" t="s">
        <v>127</v>
      </c>
      <c r="C103" s="42" t="s">
        <v>37</v>
      </c>
      <c r="D103" s="8" t="s">
        <v>574</v>
      </c>
      <c r="E103" s="42" t="s">
        <v>575</v>
      </c>
      <c r="F103" s="39" t="s">
        <v>53</v>
      </c>
      <c r="G103" s="24" t="s">
        <v>62</v>
      </c>
      <c r="H103" s="136">
        <v>2.6173056</v>
      </c>
      <c r="I103" s="149">
        <v>8</v>
      </c>
      <c r="J103" s="136">
        <f>I103*$J$1</f>
        <v>0.8</v>
      </c>
      <c r="K103" s="136">
        <v>30</v>
      </c>
      <c r="L103" s="139"/>
      <c r="M103" s="139"/>
      <c r="N103" s="136"/>
      <c r="O103" s="11"/>
      <c r="P103" s="136"/>
      <c r="Q103" s="140"/>
      <c r="R103" s="136"/>
      <c r="S103" s="136"/>
      <c r="T103" s="136"/>
      <c r="U103" s="136">
        <f aca="true" t="shared" si="30" ref="U103:U108">H103+J103+K103+N103+P103+R103+S103+T103</f>
        <v>33.4173056</v>
      </c>
    </row>
    <row r="104" spans="1:21" ht="15" outlineLevel="2">
      <c r="A104" s="6" t="s">
        <v>573</v>
      </c>
      <c r="B104" s="7" t="s">
        <v>127</v>
      </c>
      <c r="C104" s="42" t="s">
        <v>37</v>
      </c>
      <c r="D104" s="8" t="s">
        <v>574</v>
      </c>
      <c r="E104" s="42" t="s">
        <v>575</v>
      </c>
      <c r="F104" s="39" t="s">
        <v>53</v>
      </c>
      <c r="G104" s="24" t="s">
        <v>63</v>
      </c>
      <c r="H104" s="136">
        <v>14.36582</v>
      </c>
      <c r="I104" s="149">
        <v>3</v>
      </c>
      <c r="J104" s="136">
        <f>I104*$J$2</f>
        <v>0.18</v>
      </c>
      <c r="K104" s="136">
        <v>30</v>
      </c>
      <c r="L104" s="139"/>
      <c r="M104" s="139"/>
      <c r="N104" s="136"/>
      <c r="O104" s="11"/>
      <c r="P104" s="136"/>
      <c r="Q104" s="140"/>
      <c r="R104" s="136"/>
      <c r="S104" s="136"/>
      <c r="T104" s="136"/>
      <c r="U104" s="136">
        <f t="shared" si="30"/>
        <v>44.54582</v>
      </c>
    </row>
    <row r="105" spans="1:21" ht="15" outlineLevel="2">
      <c r="A105" s="6" t="s">
        <v>573</v>
      </c>
      <c r="B105" s="7" t="s">
        <v>127</v>
      </c>
      <c r="C105" s="42" t="s">
        <v>37</v>
      </c>
      <c r="D105" s="8" t="s">
        <v>574</v>
      </c>
      <c r="E105" s="42" t="s">
        <v>575</v>
      </c>
      <c r="F105" s="39" t="s">
        <v>53</v>
      </c>
      <c r="G105" s="11" t="s">
        <v>64</v>
      </c>
      <c r="H105" s="136">
        <v>27.7920944</v>
      </c>
      <c r="I105" s="140">
        <v>26</v>
      </c>
      <c r="J105" s="136">
        <f>I105*$J$2</f>
        <v>1.56</v>
      </c>
      <c r="K105" s="136">
        <v>30</v>
      </c>
      <c r="L105" s="139"/>
      <c r="M105" s="139"/>
      <c r="N105" s="136"/>
      <c r="O105" s="11"/>
      <c r="P105" s="136"/>
      <c r="Q105" s="140"/>
      <c r="R105" s="136"/>
      <c r="S105" s="136"/>
      <c r="T105" s="136"/>
      <c r="U105" s="136">
        <f t="shared" si="30"/>
        <v>59.3520944</v>
      </c>
    </row>
    <row r="106" spans="1:21" ht="15" outlineLevel="2">
      <c r="A106" s="6" t="s">
        <v>573</v>
      </c>
      <c r="B106" s="7" t="s">
        <v>127</v>
      </c>
      <c r="C106" s="42" t="s">
        <v>37</v>
      </c>
      <c r="D106" s="8" t="s">
        <v>574</v>
      </c>
      <c r="E106" s="42" t="s">
        <v>575</v>
      </c>
      <c r="F106" s="39" t="s">
        <v>53</v>
      </c>
      <c r="G106" s="24" t="s">
        <v>65</v>
      </c>
      <c r="H106" s="136">
        <v>0.44041199999999997</v>
      </c>
      <c r="I106" s="149">
        <v>1</v>
      </c>
      <c r="J106" s="136">
        <f>I106*$J$2</f>
        <v>0.06</v>
      </c>
      <c r="K106" s="136">
        <v>15</v>
      </c>
      <c r="L106" s="139"/>
      <c r="M106" s="139"/>
      <c r="N106" s="136"/>
      <c r="O106" s="11"/>
      <c r="P106" s="136"/>
      <c r="Q106" s="140"/>
      <c r="R106" s="136"/>
      <c r="S106" s="136"/>
      <c r="T106" s="136"/>
      <c r="U106" s="136">
        <f t="shared" si="30"/>
        <v>15.500412</v>
      </c>
    </row>
    <row r="107" spans="1:21" ht="15" outlineLevel="2">
      <c r="A107" s="6" t="s">
        <v>573</v>
      </c>
      <c r="B107" s="7" t="s">
        <v>127</v>
      </c>
      <c r="C107" s="42" t="s">
        <v>37</v>
      </c>
      <c r="D107" s="8" t="s">
        <v>574</v>
      </c>
      <c r="E107" s="42" t="s">
        <v>575</v>
      </c>
      <c r="F107" s="39" t="s">
        <v>53</v>
      </c>
      <c r="G107" s="24" t="s">
        <v>66</v>
      </c>
      <c r="H107" s="136">
        <v>2.3373294000000002</v>
      </c>
      <c r="I107" s="149">
        <v>1</v>
      </c>
      <c r="J107" s="136">
        <f>I107*$J$2</f>
        <v>0.06</v>
      </c>
      <c r="K107" s="136">
        <v>15</v>
      </c>
      <c r="L107" s="139"/>
      <c r="M107" s="139"/>
      <c r="N107" s="136"/>
      <c r="O107" s="11"/>
      <c r="P107" s="136"/>
      <c r="Q107" s="140"/>
      <c r="R107" s="136"/>
      <c r="S107" s="136"/>
      <c r="T107" s="136"/>
      <c r="U107" s="136">
        <f t="shared" si="30"/>
        <v>17.3973294</v>
      </c>
    </row>
    <row r="108" spans="1:21" ht="15" outlineLevel="2">
      <c r="A108" s="6" t="str">
        <f>A107</f>
        <v>M938</v>
      </c>
      <c r="B108" s="11" t="str">
        <f>B107</f>
        <v>NDPT-6th</v>
      </c>
      <c r="C108" s="42" t="s">
        <v>37</v>
      </c>
      <c r="D108" s="13" t="str">
        <f>D107</f>
        <v>108925</v>
      </c>
      <c r="E108" s="24" t="str">
        <f>E107</f>
        <v>10-90</v>
      </c>
      <c r="F108" s="39" t="s">
        <v>585</v>
      </c>
      <c r="G108" s="24" t="s">
        <v>585</v>
      </c>
      <c r="H108" s="136"/>
      <c r="I108" s="149"/>
      <c r="J108" s="136"/>
      <c r="K108" s="136"/>
      <c r="L108" s="139">
        <v>1</v>
      </c>
      <c r="M108" s="139">
        <v>0.111</v>
      </c>
      <c r="N108" s="136">
        <f>L108*M108*$N$2</f>
        <v>347.985</v>
      </c>
      <c r="O108" s="11"/>
      <c r="P108" s="136"/>
      <c r="Q108" s="140"/>
      <c r="R108" s="136"/>
      <c r="S108" s="136"/>
      <c r="T108" s="136"/>
      <c r="U108" s="136">
        <f t="shared" si="30"/>
        <v>347.985</v>
      </c>
    </row>
    <row r="109" spans="1:21" s="5" customFormat="1" ht="15.75" outlineLevel="1">
      <c r="A109" s="170" t="s">
        <v>999</v>
      </c>
      <c r="B109" s="45"/>
      <c r="C109" s="45"/>
      <c r="D109" s="61"/>
      <c r="E109" s="44"/>
      <c r="F109" s="51"/>
      <c r="G109" s="45"/>
      <c r="H109" s="137">
        <f aca="true" t="shared" si="31" ref="H109:U109">SUBTOTAL(9,H103:H108)</f>
        <v>47.55296140000001</v>
      </c>
      <c r="I109" s="167">
        <f t="shared" si="31"/>
        <v>39</v>
      </c>
      <c r="J109" s="137">
        <f t="shared" si="31"/>
        <v>2.66</v>
      </c>
      <c r="K109" s="137">
        <f t="shared" si="31"/>
        <v>120</v>
      </c>
      <c r="L109" s="141">
        <f t="shared" si="31"/>
        <v>1</v>
      </c>
      <c r="M109" s="141">
        <f t="shared" si="31"/>
        <v>0.111</v>
      </c>
      <c r="N109" s="137">
        <f t="shared" si="31"/>
        <v>347.985</v>
      </c>
      <c r="O109" s="46">
        <f t="shared" si="31"/>
        <v>0</v>
      </c>
      <c r="P109" s="137">
        <f t="shared" si="31"/>
        <v>0</v>
      </c>
      <c r="Q109" s="167">
        <f t="shared" si="31"/>
        <v>0</v>
      </c>
      <c r="R109" s="137">
        <f t="shared" si="31"/>
        <v>0</v>
      </c>
      <c r="S109" s="137">
        <f t="shared" si="31"/>
        <v>0</v>
      </c>
      <c r="T109" s="171">
        <f t="shared" si="31"/>
        <v>0</v>
      </c>
      <c r="U109" s="137">
        <f t="shared" si="31"/>
        <v>518.1979614</v>
      </c>
    </row>
    <row r="110" spans="1:21" s="5" customFormat="1" ht="15.75" outlineLevel="1" collapsed="1">
      <c r="A110" s="170" t="s">
        <v>633</v>
      </c>
      <c r="B110" s="45"/>
      <c r="C110" s="45"/>
      <c r="D110" s="61"/>
      <c r="E110" s="44"/>
      <c r="F110" s="51"/>
      <c r="G110" s="45"/>
      <c r="H110" s="137">
        <f aca="true" t="shared" si="32" ref="H110:U110">SUBTOTAL(9,H4:H108)</f>
        <v>7532.660043999998</v>
      </c>
      <c r="I110" s="167">
        <f t="shared" si="32"/>
        <v>11902</v>
      </c>
      <c r="J110" s="137">
        <f t="shared" si="32"/>
        <v>997.8399999999995</v>
      </c>
      <c r="K110" s="137">
        <f t="shared" si="32"/>
        <v>1770</v>
      </c>
      <c r="L110" s="141">
        <f t="shared" si="32"/>
        <v>31.5</v>
      </c>
      <c r="M110" s="141">
        <f t="shared" si="32"/>
        <v>2.485500000000001</v>
      </c>
      <c r="N110" s="137">
        <f t="shared" si="32"/>
        <v>8922.21</v>
      </c>
      <c r="O110" s="46">
        <f t="shared" si="32"/>
        <v>7.75</v>
      </c>
      <c r="P110" s="137">
        <f t="shared" si="32"/>
        <v>558</v>
      </c>
      <c r="Q110" s="167">
        <f t="shared" si="32"/>
        <v>0</v>
      </c>
      <c r="R110" s="137">
        <f t="shared" si="32"/>
        <v>0</v>
      </c>
      <c r="S110" s="137">
        <f t="shared" si="32"/>
        <v>0</v>
      </c>
      <c r="T110" s="171">
        <f t="shared" si="32"/>
        <v>73.77</v>
      </c>
      <c r="U110" s="137">
        <f t="shared" si="32"/>
        <v>19854.480044</v>
      </c>
    </row>
  </sheetData>
  <autoFilter ref="A3:U108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7" sqref="F7"/>
    </sheetView>
  </sheetViews>
  <sheetFormatPr defaultColWidth="8.88671875" defaultRowHeight="15"/>
  <cols>
    <col min="1" max="1" width="12.99609375" style="174" bestFit="1" customWidth="1"/>
    <col min="2" max="3" width="7.10546875" style="174" customWidth="1"/>
    <col min="4" max="4" width="13.5546875" style="174" bestFit="1" customWidth="1"/>
    <col min="5" max="16384" width="7.10546875" style="174" customWidth="1"/>
  </cols>
  <sheetData>
    <row r="1" ht="12.75">
      <c r="A1" s="173" t="s">
        <v>1000</v>
      </c>
    </row>
    <row r="2" spans="1:3" ht="12.75">
      <c r="A2" s="173" t="s">
        <v>1001</v>
      </c>
      <c r="B2" s="173" t="s">
        <v>714</v>
      </c>
      <c r="C2" s="173" t="s">
        <v>747</v>
      </c>
    </row>
    <row r="3" spans="1:4" ht="12.75">
      <c r="A3" s="174" t="s">
        <v>1002</v>
      </c>
      <c r="B3" s="175">
        <v>0.1</v>
      </c>
      <c r="C3" s="175">
        <v>0.1</v>
      </c>
      <c r="D3" s="174" t="s">
        <v>1003</v>
      </c>
    </row>
    <row r="4" spans="1:4" ht="12.75">
      <c r="A4" s="174" t="s">
        <v>1004</v>
      </c>
      <c r="B4" s="175">
        <v>0.06</v>
      </c>
      <c r="C4" s="175">
        <v>0.06</v>
      </c>
      <c r="D4" s="174" t="s">
        <v>1003</v>
      </c>
    </row>
    <row r="5" spans="1:4" ht="12.75">
      <c r="A5" s="174" t="s">
        <v>1005</v>
      </c>
      <c r="B5" s="175">
        <v>0.01</v>
      </c>
      <c r="C5" s="175">
        <v>0.01</v>
      </c>
      <c r="D5" s="174" t="s">
        <v>1003</v>
      </c>
    </row>
    <row r="6" spans="1:4" ht="12.75">
      <c r="A6" s="174" t="s">
        <v>1006</v>
      </c>
      <c r="B6" s="176">
        <v>72</v>
      </c>
      <c r="C6" s="176">
        <v>72</v>
      </c>
      <c r="D6" s="174" t="s">
        <v>1007</v>
      </c>
    </row>
    <row r="7" spans="1:4" ht="12.75">
      <c r="A7" s="174" t="s">
        <v>1008</v>
      </c>
      <c r="B7" s="176">
        <v>15</v>
      </c>
      <c r="C7" s="176">
        <v>15</v>
      </c>
      <c r="D7" s="174" t="s">
        <v>1009</v>
      </c>
    </row>
    <row r="8" spans="1:3" ht="12.75">
      <c r="A8" s="174" t="s">
        <v>1010</v>
      </c>
      <c r="B8" s="177"/>
      <c r="C8" s="177"/>
    </row>
    <row r="9" spans="1:4" ht="12.75">
      <c r="A9" s="174" t="s">
        <v>1011</v>
      </c>
      <c r="B9" s="176">
        <v>3135</v>
      </c>
      <c r="C9" s="176">
        <v>3135</v>
      </c>
      <c r="D9" s="174" t="s">
        <v>1012</v>
      </c>
    </row>
    <row r="10" spans="1:3" ht="12.75">
      <c r="A10" s="174" t="s">
        <v>1013</v>
      </c>
      <c r="B10" s="178">
        <v>0</v>
      </c>
      <c r="C10" s="178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80" zoomScaleNormal="80" workbookViewId="0" topLeftCell="L1">
      <selection activeCell="L74" sqref="L74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hidden="1" outlineLevel="2">
      <c r="A4" s="9" t="s">
        <v>10</v>
      </c>
      <c r="B4" s="25" t="s">
        <v>238</v>
      </c>
      <c r="C4" s="7" t="s">
        <v>243</v>
      </c>
      <c r="D4" s="26">
        <v>152200</v>
      </c>
      <c r="E4" s="27" t="s">
        <v>594</v>
      </c>
      <c r="F4" s="20" t="s">
        <v>585</v>
      </c>
      <c r="G4" s="27" t="s">
        <v>585</v>
      </c>
      <c r="H4" s="136"/>
      <c r="I4" s="149"/>
      <c r="J4" s="136"/>
      <c r="K4" s="136"/>
      <c r="L4" s="139">
        <v>2</v>
      </c>
      <c r="M4" s="139">
        <v>0.5</v>
      </c>
      <c r="N4" s="136">
        <f>L4*M4*$N$2</f>
        <v>3135</v>
      </c>
      <c r="O4" s="11"/>
      <c r="P4" s="136"/>
      <c r="Q4" s="140"/>
      <c r="R4" s="136"/>
      <c r="S4" s="136"/>
      <c r="T4" s="136"/>
      <c r="U4" s="136">
        <f>H4+J4+K4+N4+P4+R4+S4+T4</f>
        <v>3135</v>
      </c>
    </row>
    <row r="5" spans="1:21" ht="15" hidden="1" outlineLevel="2">
      <c r="A5" s="28" t="s">
        <v>10</v>
      </c>
      <c r="B5" s="11" t="str">
        <f>B4</f>
        <v>DA</v>
      </c>
      <c r="C5" s="11" t="str">
        <f>C4</f>
        <v>FAMILY &amp; COMMUNITY JUSTICE</v>
      </c>
      <c r="D5" s="13">
        <f>D4</f>
        <v>152200</v>
      </c>
      <c r="E5" s="38" t="str">
        <f>E4</f>
        <v>15-20</v>
      </c>
      <c r="F5" s="20" t="s">
        <v>615</v>
      </c>
      <c r="G5" s="11" t="s">
        <v>615</v>
      </c>
      <c r="H5" s="136"/>
      <c r="I5" s="140"/>
      <c r="J5" s="136"/>
      <c r="K5" s="136"/>
      <c r="L5" s="139"/>
      <c r="M5" s="139"/>
      <c r="N5" s="136"/>
      <c r="O5" s="29">
        <f>1.75+2</f>
        <v>3.75</v>
      </c>
      <c r="P5" s="136">
        <f>O5*$P$2</f>
        <v>270</v>
      </c>
      <c r="Q5" s="140"/>
      <c r="R5" s="136"/>
      <c r="S5" s="136"/>
      <c r="T5" s="136"/>
      <c r="U5" s="136">
        <f>H5+J5+K5+N5+P5+R5+S5+T5</f>
        <v>270</v>
      </c>
    </row>
    <row r="6" spans="1:21" s="5" customFormat="1" ht="15.75" outlineLevel="1" collapsed="1">
      <c r="A6" s="64" t="s">
        <v>757</v>
      </c>
      <c r="B6" s="45"/>
      <c r="C6" s="45"/>
      <c r="D6" s="61"/>
      <c r="E6" s="52"/>
      <c r="F6" s="51"/>
      <c r="G6" s="45"/>
      <c r="H6" s="137">
        <f aca="true" t="shared" si="0" ref="H6:U6">SUBTOTAL(9,H4:H5)</f>
        <v>0</v>
      </c>
      <c r="I6" s="167">
        <f t="shared" si="0"/>
        <v>0</v>
      </c>
      <c r="J6" s="137">
        <f t="shared" si="0"/>
        <v>0</v>
      </c>
      <c r="K6" s="137">
        <f t="shared" si="0"/>
        <v>0</v>
      </c>
      <c r="L6" s="141">
        <f t="shared" si="0"/>
        <v>2</v>
      </c>
      <c r="M6" s="141">
        <f t="shared" si="0"/>
        <v>0.5</v>
      </c>
      <c r="N6" s="137">
        <f t="shared" si="0"/>
        <v>3135</v>
      </c>
      <c r="O6" s="65">
        <f t="shared" si="0"/>
        <v>3.75</v>
      </c>
      <c r="P6" s="137">
        <f t="shared" si="0"/>
        <v>270</v>
      </c>
      <c r="Q6" s="16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7">
        <f t="shared" si="0"/>
        <v>3405</v>
      </c>
    </row>
    <row r="7" spans="1:21" ht="15" hidden="1" outlineLevel="2">
      <c r="A7" s="6" t="s">
        <v>237</v>
      </c>
      <c r="B7" s="7" t="s">
        <v>238</v>
      </c>
      <c r="C7" s="7" t="s">
        <v>239</v>
      </c>
      <c r="D7" s="8" t="s">
        <v>240</v>
      </c>
      <c r="E7" s="42" t="s">
        <v>241</v>
      </c>
      <c r="F7" s="39" t="s">
        <v>53</v>
      </c>
      <c r="G7" s="24" t="s">
        <v>62</v>
      </c>
      <c r="H7" s="136">
        <v>19384.59576479995</v>
      </c>
      <c r="I7" s="149">
        <v>58448</v>
      </c>
      <c r="J7" s="136">
        <f>I7*$J$1</f>
        <v>5844.8</v>
      </c>
      <c r="K7" s="136">
        <v>30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aca="true" t="shared" si="1" ref="U7:U18">H7+J7+K7+N7+P7+R7+S7+T7</f>
        <v>25259.39576479995</v>
      </c>
    </row>
    <row r="8" spans="1:21" ht="15" hidden="1" outlineLevel="2">
      <c r="A8" s="6" t="s">
        <v>237</v>
      </c>
      <c r="B8" s="7" t="s">
        <v>238</v>
      </c>
      <c r="C8" s="7" t="s">
        <v>239</v>
      </c>
      <c r="D8" s="8" t="s">
        <v>240</v>
      </c>
      <c r="E8" s="42" t="s">
        <v>241</v>
      </c>
      <c r="F8" s="39" t="s">
        <v>53</v>
      </c>
      <c r="G8" s="24" t="s">
        <v>63</v>
      </c>
      <c r="H8" s="136">
        <v>1362.5938326000007</v>
      </c>
      <c r="I8" s="149">
        <v>536</v>
      </c>
      <c r="J8" s="136">
        <f aca="true" t="shared" si="2" ref="J8:J14">I8*$J$2</f>
        <v>32.16</v>
      </c>
      <c r="K8" s="136">
        <v>0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1"/>
        <v>1394.7538326000008</v>
      </c>
    </row>
    <row r="9" spans="1:21" ht="15" hidden="1" outlineLevel="2">
      <c r="A9" s="6" t="s">
        <v>237</v>
      </c>
      <c r="B9" s="7" t="s">
        <v>238</v>
      </c>
      <c r="C9" s="7" t="s">
        <v>239</v>
      </c>
      <c r="D9" s="8" t="s">
        <v>240</v>
      </c>
      <c r="E9" s="42" t="s">
        <v>241</v>
      </c>
      <c r="F9" s="39" t="s">
        <v>53</v>
      </c>
      <c r="G9" s="24" t="s">
        <v>64</v>
      </c>
      <c r="H9" s="136">
        <v>2235.3394182000006</v>
      </c>
      <c r="I9" s="149">
        <v>1679</v>
      </c>
      <c r="J9" s="136">
        <f t="shared" si="2"/>
        <v>100.74</v>
      </c>
      <c r="K9" s="136">
        <v>0</v>
      </c>
      <c r="L9" s="139"/>
      <c r="M9" s="139"/>
      <c r="N9" s="136"/>
      <c r="O9" s="11"/>
      <c r="P9" s="136"/>
      <c r="Q9" s="140"/>
      <c r="R9" s="136"/>
      <c r="S9" s="136"/>
      <c r="T9" s="136"/>
      <c r="U9" s="136">
        <f t="shared" si="1"/>
        <v>2336.0794182000004</v>
      </c>
    </row>
    <row r="10" spans="1:21" ht="15" hidden="1" outlineLevel="2">
      <c r="A10" s="6" t="s">
        <v>237</v>
      </c>
      <c r="B10" s="7" t="s">
        <v>238</v>
      </c>
      <c r="C10" s="7" t="s">
        <v>239</v>
      </c>
      <c r="D10" s="8" t="s">
        <v>240</v>
      </c>
      <c r="E10" s="42" t="s">
        <v>241</v>
      </c>
      <c r="F10" s="39" t="s">
        <v>53</v>
      </c>
      <c r="G10" s="24" t="s">
        <v>65</v>
      </c>
      <c r="H10" s="136">
        <v>5142.323914</v>
      </c>
      <c r="I10" s="149">
        <v>11742</v>
      </c>
      <c r="J10" s="136">
        <f t="shared" si="2"/>
        <v>704.52</v>
      </c>
      <c r="K10" s="136">
        <v>75</v>
      </c>
      <c r="L10" s="139"/>
      <c r="M10" s="139"/>
      <c r="N10" s="136"/>
      <c r="O10" s="11"/>
      <c r="P10" s="136"/>
      <c r="Q10" s="140"/>
      <c r="R10" s="136"/>
      <c r="S10" s="136"/>
      <c r="T10" s="136"/>
      <c r="U10" s="136">
        <f t="shared" si="1"/>
        <v>5921.843913999999</v>
      </c>
    </row>
    <row r="11" spans="1:21" ht="15" hidden="1" outlineLevel="2">
      <c r="A11" s="6" t="s">
        <v>237</v>
      </c>
      <c r="B11" s="7" t="s">
        <v>238</v>
      </c>
      <c r="C11" s="7" t="s">
        <v>239</v>
      </c>
      <c r="D11" s="8" t="s">
        <v>240</v>
      </c>
      <c r="E11" s="42" t="s">
        <v>241</v>
      </c>
      <c r="F11" s="39" t="s">
        <v>53</v>
      </c>
      <c r="G11" s="24" t="s">
        <v>66</v>
      </c>
      <c r="H11" s="136">
        <v>566.3111104000001</v>
      </c>
      <c r="I11" s="149">
        <v>548</v>
      </c>
      <c r="J11" s="136">
        <f t="shared" si="2"/>
        <v>32.879999999999995</v>
      </c>
      <c r="K11" s="136">
        <v>75</v>
      </c>
      <c r="L11" s="139"/>
      <c r="M11" s="139"/>
      <c r="N11" s="136"/>
      <c r="O11" s="11"/>
      <c r="P11" s="136"/>
      <c r="Q11" s="140"/>
      <c r="R11" s="136"/>
      <c r="S11" s="136"/>
      <c r="T11" s="136"/>
      <c r="U11" s="136">
        <f t="shared" si="1"/>
        <v>674.1911104000001</v>
      </c>
    </row>
    <row r="12" spans="1:21" ht="15" hidden="1" outlineLevel="2">
      <c r="A12" s="6" t="s">
        <v>237</v>
      </c>
      <c r="B12" s="7" t="s">
        <v>238</v>
      </c>
      <c r="C12" s="7" t="s">
        <v>239</v>
      </c>
      <c r="D12" s="8" t="s">
        <v>240</v>
      </c>
      <c r="E12" s="42" t="s">
        <v>241</v>
      </c>
      <c r="F12" s="39" t="s">
        <v>53</v>
      </c>
      <c r="G12" s="24" t="s">
        <v>104</v>
      </c>
      <c r="H12" s="136">
        <v>2.453724</v>
      </c>
      <c r="I12" s="149">
        <v>1</v>
      </c>
      <c r="J12" s="136">
        <f t="shared" si="2"/>
        <v>0.06</v>
      </c>
      <c r="K12" s="136">
        <v>0</v>
      </c>
      <c r="L12" s="139"/>
      <c r="M12" s="139"/>
      <c r="N12" s="136"/>
      <c r="O12" s="11"/>
      <c r="P12" s="136"/>
      <c r="Q12" s="140"/>
      <c r="R12" s="136"/>
      <c r="S12" s="136"/>
      <c r="T12" s="136"/>
      <c r="U12" s="136">
        <f t="shared" si="1"/>
        <v>2.513724</v>
      </c>
    </row>
    <row r="13" spans="1:21" ht="15" hidden="1" outlineLevel="2">
      <c r="A13" s="6" t="s">
        <v>237</v>
      </c>
      <c r="B13" s="7" t="s">
        <v>238</v>
      </c>
      <c r="C13" s="7" t="s">
        <v>239</v>
      </c>
      <c r="D13" s="8" t="s">
        <v>240</v>
      </c>
      <c r="E13" s="42" t="s">
        <v>241</v>
      </c>
      <c r="F13" s="39" t="s">
        <v>53</v>
      </c>
      <c r="G13" s="24" t="s">
        <v>167</v>
      </c>
      <c r="H13" s="136">
        <v>9.615662</v>
      </c>
      <c r="I13" s="149">
        <v>4</v>
      </c>
      <c r="J13" s="136">
        <f t="shared" si="2"/>
        <v>0.24</v>
      </c>
      <c r="K13" s="136">
        <v>0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 t="shared" si="1"/>
        <v>9.855662</v>
      </c>
    </row>
    <row r="14" spans="1:21" ht="15" hidden="1" outlineLevel="2">
      <c r="A14" s="6" t="s">
        <v>237</v>
      </c>
      <c r="B14" s="7" t="s">
        <v>238</v>
      </c>
      <c r="C14" s="7" t="s">
        <v>239</v>
      </c>
      <c r="D14" s="8" t="s">
        <v>240</v>
      </c>
      <c r="E14" s="42" t="s">
        <v>241</v>
      </c>
      <c r="F14" s="39" t="s">
        <v>53</v>
      </c>
      <c r="G14" s="11" t="s">
        <v>90</v>
      </c>
      <c r="H14" s="136">
        <v>26.827382399999998</v>
      </c>
      <c r="I14" s="140">
        <v>82</v>
      </c>
      <c r="J14" s="136">
        <f t="shared" si="2"/>
        <v>4.92</v>
      </c>
      <c r="K14" s="136">
        <v>0</v>
      </c>
      <c r="L14" s="139"/>
      <c r="M14" s="139"/>
      <c r="N14" s="136"/>
      <c r="O14" s="11"/>
      <c r="P14" s="136"/>
      <c r="Q14" s="140"/>
      <c r="R14" s="136"/>
      <c r="S14" s="136"/>
      <c r="T14" s="136"/>
      <c r="U14" s="136">
        <f t="shared" si="1"/>
        <v>31.7473824</v>
      </c>
    </row>
    <row r="15" spans="1:21" ht="15" hidden="1" outlineLevel="2">
      <c r="A15" s="6" t="str">
        <f>A14</f>
        <v>M240</v>
      </c>
      <c r="B15" s="11" t="str">
        <f>B14</f>
        <v>DA</v>
      </c>
      <c r="C15" s="11" t="str">
        <f>C14</f>
        <v>ADMINISTRATION</v>
      </c>
      <c r="D15" s="13" t="str">
        <f>D14</f>
        <v>150000</v>
      </c>
      <c r="E15" s="24" t="str">
        <f>E14</f>
        <v>15-00</v>
      </c>
      <c r="F15" s="39" t="s">
        <v>585</v>
      </c>
      <c r="G15" s="24" t="s">
        <v>585</v>
      </c>
      <c r="H15" s="136"/>
      <c r="I15" s="140"/>
      <c r="J15" s="136"/>
      <c r="K15" s="136"/>
      <c r="L15" s="139">
        <v>6</v>
      </c>
      <c r="M15" s="139">
        <v>1</v>
      </c>
      <c r="N15" s="136">
        <f>L15*M15*$N$2</f>
        <v>18810</v>
      </c>
      <c r="O15" s="11"/>
      <c r="P15" s="136"/>
      <c r="Q15" s="140"/>
      <c r="R15" s="136"/>
      <c r="S15" s="136"/>
      <c r="T15" s="136"/>
      <c r="U15" s="136">
        <f t="shared" si="1"/>
        <v>18810</v>
      </c>
    </row>
    <row r="16" spans="1:21" ht="15" hidden="1" outlineLevel="2">
      <c r="A16" s="28" t="s">
        <v>237</v>
      </c>
      <c r="B16" s="11" t="str">
        <f aca="true" t="shared" si="3" ref="B16:E17">B15</f>
        <v>DA</v>
      </c>
      <c r="C16" s="11" t="str">
        <f t="shared" si="3"/>
        <v>ADMINISTRATION</v>
      </c>
      <c r="D16" s="13" t="str">
        <f t="shared" si="3"/>
        <v>150000</v>
      </c>
      <c r="E16" s="38" t="str">
        <f t="shared" si="3"/>
        <v>15-00</v>
      </c>
      <c r="F16" s="20" t="s">
        <v>615</v>
      </c>
      <c r="G16" s="11" t="s">
        <v>615</v>
      </c>
      <c r="H16" s="136"/>
      <c r="I16" s="140"/>
      <c r="J16" s="136"/>
      <c r="K16" s="136"/>
      <c r="L16" s="139"/>
      <c r="M16" s="139"/>
      <c r="N16" s="136"/>
      <c r="O16" s="29">
        <f>35.75+18.25</f>
        <v>54</v>
      </c>
      <c r="P16" s="136">
        <f>O16*$P$2</f>
        <v>3888</v>
      </c>
      <c r="Q16" s="140"/>
      <c r="R16" s="136"/>
      <c r="S16" s="136"/>
      <c r="T16" s="136"/>
      <c r="U16" s="136">
        <f t="shared" si="1"/>
        <v>3888</v>
      </c>
    </row>
    <row r="17" spans="1:21" ht="15" hidden="1" outlineLevel="2">
      <c r="A17" s="36" t="s">
        <v>653</v>
      </c>
      <c r="B17" s="11" t="str">
        <f t="shared" si="3"/>
        <v>DA</v>
      </c>
      <c r="C17" s="11" t="str">
        <f t="shared" si="3"/>
        <v>ADMINISTRATION</v>
      </c>
      <c r="D17" s="13" t="str">
        <f t="shared" si="3"/>
        <v>150000</v>
      </c>
      <c r="E17" s="27" t="str">
        <f t="shared" si="3"/>
        <v>15-00</v>
      </c>
      <c r="F17" s="20" t="s">
        <v>683</v>
      </c>
      <c r="G17" s="11" t="s">
        <v>683</v>
      </c>
      <c r="H17" s="136"/>
      <c r="I17" s="140"/>
      <c r="J17" s="136"/>
      <c r="K17" s="136"/>
      <c r="L17" s="139"/>
      <c r="M17" s="139"/>
      <c r="N17" s="136"/>
      <c r="O17" s="34"/>
      <c r="P17" s="136"/>
      <c r="Q17" s="140"/>
      <c r="R17" s="136"/>
      <c r="S17" s="136"/>
      <c r="T17" s="150">
        <v>12.85</v>
      </c>
      <c r="U17" s="136">
        <f t="shared" si="1"/>
        <v>12.85</v>
      </c>
    </row>
    <row r="18" spans="1:21" ht="15" hidden="1" outlineLevel="2">
      <c r="A18" s="36" t="s">
        <v>653</v>
      </c>
      <c r="B18" s="11" t="str">
        <f>B16</f>
        <v>DA</v>
      </c>
      <c r="C18" s="11" t="str">
        <f>C16</f>
        <v>ADMINISTRATION</v>
      </c>
      <c r="D18" s="13" t="str">
        <f>D16</f>
        <v>150000</v>
      </c>
      <c r="E18" s="27" t="str">
        <f>E16</f>
        <v>15-00</v>
      </c>
      <c r="F18" s="20" t="s">
        <v>53</v>
      </c>
      <c r="G18" s="11" t="s">
        <v>684</v>
      </c>
      <c r="H18" s="136"/>
      <c r="I18" s="140"/>
      <c r="J18" s="136"/>
      <c r="K18" s="136"/>
      <c r="L18" s="139"/>
      <c r="M18" s="139"/>
      <c r="N18" s="136"/>
      <c r="O18" s="34"/>
      <c r="P18" s="136"/>
      <c r="Q18" s="140"/>
      <c r="R18" s="136">
        <v>391.36</v>
      </c>
      <c r="S18" s="136"/>
      <c r="T18" s="150"/>
      <c r="U18" s="136">
        <f t="shared" si="1"/>
        <v>391.36</v>
      </c>
    </row>
    <row r="19" spans="1:21" s="5" customFormat="1" ht="15.75" outlineLevel="1" collapsed="1">
      <c r="A19" s="64" t="s">
        <v>758</v>
      </c>
      <c r="B19" s="45"/>
      <c r="C19" s="45"/>
      <c r="D19" s="61"/>
      <c r="E19" s="52"/>
      <c r="F19" s="51"/>
      <c r="G19" s="45"/>
      <c r="H19" s="137">
        <f aca="true" t="shared" si="4" ref="H19:U19">SUBTOTAL(9,H7:H18)</f>
        <v>28730.06080839995</v>
      </c>
      <c r="I19" s="167">
        <f t="shared" si="4"/>
        <v>73040</v>
      </c>
      <c r="J19" s="137">
        <f t="shared" si="4"/>
        <v>6720.32</v>
      </c>
      <c r="K19" s="137">
        <f t="shared" si="4"/>
        <v>180</v>
      </c>
      <c r="L19" s="141">
        <f t="shared" si="4"/>
        <v>6</v>
      </c>
      <c r="M19" s="141">
        <f t="shared" si="4"/>
        <v>1</v>
      </c>
      <c r="N19" s="137">
        <f t="shared" si="4"/>
        <v>18810</v>
      </c>
      <c r="O19" s="65">
        <f t="shared" si="4"/>
        <v>54</v>
      </c>
      <c r="P19" s="137">
        <f t="shared" si="4"/>
        <v>3888</v>
      </c>
      <c r="Q19" s="167">
        <f t="shared" si="4"/>
        <v>0</v>
      </c>
      <c r="R19" s="137">
        <f t="shared" si="4"/>
        <v>391.36</v>
      </c>
      <c r="S19" s="137">
        <f t="shared" si="4"/>
        <v>0</v>
      </c>
      <c r="T19" s="137">
        <f t="shared" si="4"/>
        <v>12.85</v>
      </c>
      <c r="U19" s="137">
        <f t="shared" si="4"/>
        <v>58732.590808399946</v>
      </c>
    </row>
    <row r="20" spans="1:21" ht="15" hidden="1" outlineLevel="2">
      <c r="A20" s="6" t="s">
        <v>608</v>
      </c>
      <c r="B20" s="7" t="s">
        <v>238</v>
      </c>
      <c r="C20" s="11" t="s">
        <v>609</v>
      </c>
      <c r="D20" s="13">
        <v>151200</v>
      </c>
      <c r="E20" s="43" t="s">
        <v>596</v>
      </c>
      <c r="F20" s="39" t="s">
        <v>585</v>
      </c>
      <c r="G20" s="24" t="s">
        <v>585</v>
      </c>
      <c r="H20" s="136"/>
      <c r="I20" s="140"/>
      <c r="J20" s="136"/>
      <c r="K20" s="136"/>
      <c r="L20" s="139">
        <v>2</v>
      </c>
      <c r="M20" s="139">
        <v>1</v>
      </c>
      <c r="N20" s="136">
        <f>L20*M20*$N$2</f>
        <v>6270</v>
      </c>
      <c r="O20" s="11"/>
      <c r="P20" s="136"/>
      <c r="Q20" s="140"/>
      <c r="R20" s="136"/>
      <c r="S20" s="136"/>
      <c r="T20" s="136"/>
      <c r="U20" s="136">
        <f>H20+J20+K20+N20+P20+R20+S20+T20</f>
        <v>6270</v>
      </c>
    </row>
    <row r="21" spans="1:21" ht="15" hidden="1" outlineLevel="2">
      <c r="A21" s="28" t="s">
        <v>608</v>
      </c>
      <c r="B21" s="11" t="str">
        <f>B20</f>
        <v>DA</v>
      </c>
      <c r="C21" s="11" t="str">
        <f>C20</f>
        <v>'DA-Felony Court-Trial Unit-Drugs</v>
      </c>
      <c r="D21" s="13">
        <f>D20</f>
        <v>151200</v>
      </c>
      <c r="E21" s="38" t="str">
        <f>E20</f>
        <v>15-10</v>
      </c>
      <c r="F21" s="20" t="s">
        <v>615</v>
      </c>
      <c r="G21" s="11" t="s">
        <v>615</v>
      </c>
      <c r="H21" s="136"/>
      <c r="I21" s="140"/>
      <c r="J21" s="136"/>
      <c r="K21" s="136"/>
      <c r="L21" s="139"/>
      <c r="M21" s="139"/>
      <c r="N21" s="136"/>
      <c r="O21" s="29">
        <f>1.75+0.25</f>
        <v>2</v>
      </c>
      <c r="P21" s="136">
        <f>O21*$P$2</f>
        <v>144</v>
      </c>
      <c r="Q21" s="140"/>
      <c r="R21" s="136"/>
      <c r="S21" s="136"/>
      <c r="T21" s="136"/>
      <c r="U21" s="136">
        <f>H21+J21+K21+N21+P21+R21+S21+T21</f>
        <v>144</v>
      </c>
    </row>
    <row r="22" spans="1:21" s="5" customFormat="1" ht="15.75" outlineLevel="1" collapsed="1">
      <c r="A22" s="64" t="s">
        <v>759</v>
      </c>
      <c r="B22" s="45"/>
      <c r="C22" s="45"/>
      <c r="D22" s="61"/>
      <c r="E22" s="52"/>
      <c r="F22" s="51"/>
      <c r="G22" s="45"/>
      <c r="H22" s="137">
        <f aca="true" t="shared" si="5" ref="H22:U22">SUBTOTAL(9,H20:H21)</f>
        <v>0</v>
      </c>
      <c r="I22" s="167">
        <f t="shared" si="5"/>
        <v>0</v>
      </c>
      <c r="J22" s="137">
        <f t="shared" si="5"/>
        <v>0</v>
      </c>
      <c r="K22" s="137">
        <f t="shared" si="5"/>
        <v>0</v>
      </c>
      <c r="L22" s="141">
        <f t="shared" si="5"/>
        <v>2</v>
      </c>
      <c r="M22" s="141">
        <f t="shared" si="5"/>
        <v>1</v>
      </c>
      <c r="N22" s="137">
        <f t="shared" si="5"/>
        <v>6270</v>
      </c>
      <c r="O22" s="65">
        <f t="shared" si="5"/>
        <v>2</v>
      </c>
      <c r="P22" s="137">
        <f t="shared" si="5"/>
        <v>144</v>
      </c>
      <c r="Q22" s="167">
        <f t="shared" si="5"/>
        <v>0</v>
      </c>
      <c r="R22" s="137">
        <f t="shared" si="5"/>
        <v>0</v>
      </c>
      <c r="S22" s="137">
        <f t="shared" si="5"/>
        <v>0</v>
      </c>
      <c r="T22" s="137">
        <f t="shared" si="5"/>
        <v>0</v>
      </c>
      <c r="U22" s="137">
        <f t="shared" si="5"/>
        <v>6414</v>
      </c>
    </row>
    <row r="23" spans="1:21" ht="15" hidden="1" outlineLevel="2">
      <c r="A23" s="6" t="s">
        <v>242</v>
      </c>
      <c r="B23" s="7" t="s">
        <v>238</v>
      </c>
      <c r="C23" s="7" t="s">
        <v>243</v>
      </c>
      <c r="D23" s="8" t="s">
        <v>244</v>
      </c>
      <c r="E23" s="42" t="s">
        <v>245</v>
      </c>
      <c r="F23" s="39" t="s">
        <v>53</v>
      </c>
      <c r="G23" s="24" t="s">
        <v>62</v>
      </c>
      <c r="H23" s="136">
        <v>7847.922682599991</v>
      </c>
      <c r="I23" s="149">
        <v>22612</v>
      </c>
      <c r="J23" s="136">
        <f>I23*$J$1</f>
        <v>2261.2000000000003</v>
      </c>
      <c r="K23" s="136">
        <v>0</v>
      </c>
      <c r="L23" s="139"/>
      <c r="M23" s="139"/>
      <c r="N23" s="136"/>
      <c r="O23" s="11"/>
      <c r="P23" s="136"/>
      <c r="Q23" s="140"/>
      <c r="R23" s="136"/>
      <c r="S23" s="136"/>
      <c r="T23" s="136"/>
      <c r="U23" s="136">
        <f aca="true" t="shared" si="6" ref="U23:U34">H23+J23+K23+N23+P23+R23+S23+T23</f>
        <v>10109.122682599991</v>
      </c>
    </row>
    <row r="24" spans="1:21" ht="15" hidden="1" outlineLevel="2">
      <c r="A24" s="6" t="s">
        <v>242</v>
      </c>
      <c r="B24" s="7" t="s">
        <v>238</v>
      </c>
      <c r="C24" s="7" t="s">
        <v>243</v>
      </c>
      <c r="D24" s="8" t="s">
        <v>244</v>
      </c>
      <c r="E24" s="42" t="s">
        <v>245</v>
      </c>
      <c r="F24" s="39" t="s">
        <v>53</v>
      </c>
      <c r="G24" s="24" t="s">
        <v>63</v>
      </c>
      <c r="H24" s="136">
        <v>3120.8192022000007</v>
      </c>
      <c r="I24" s="149">
        <v>977</v>
      </c>
      <c r="J24" s="136">
        <f aca="true" t="shared" si="7" ref="J24:J31">I24*$J$2</f>
        <v>58.62</v>
      </c>
      <c r="K24" s="136">
        <v>0</v>
      </c>
      <c r="L24" s="139"/>
      <c r="M24" s="139"/>
      <c r="N24" s="136"/>
      <c r="O24" s="11"/>
      <c r="P24" s="136"/>
      <c r="Q24" s="140"/>
      <c r="R24" s="136"/>
      <c r="S24" s="136"/>
      <c r="T24" s="136"/>
      <c r="U24" s="136">
        <f t="shared" si="6"/>
        <v>3179.4392022000006</v>
      </c>
    </row>
    <row r="25" spans="1:21" ht="15" hidden="1" outlineLevel="2">
      <c r="A25" s="6" t="s">
        <v>242</v>
      </c>
      <c r="B25" s="7" t="s">
        <v>238</v>
      </c>
      <c r="C25" s="7" t="s">
        <v>243</v>
      </c>
      <c r="D25" s="8" t="s">
        <v>244</v>
      </c>
      <c r="E25" s="42" t="s">
        <v>245</v>
      </c>
      <c r="F25" s="39" t="s">
        <v>53</v>
      </c>
      <c r="G25" s="24" t="s">
        <v>246</v>
      </c>
      <c r="H25" s="136">
        <v>5.725356</v>
      </c>
      <c r="I25" s="149">
        <v>13</v>
      </c>
      <c r="J25" s="136">
        <f t="shared" si="7"/>
        <v>0.78</v>
      </c>
      <c r="K25" s="136">
        <v>0</v>
      </c>
      <c r="L25" s="139"/>
      <c r="M25" s="139"/>
      <c r="N25" s="136"/>
      <c r="O25" s="11"/>
      <c r="P25" s="136"/>
      <c r="Q25" s="140"/>
      <c r="R25" s="136"/>
      <c r="S25" s="136"/>
      <c r="T25" s="136"/>
      <c r="U25" s="136">
        <f t="shared" si="6"/>
        <v>6.505356</v>
      </c>
    </row>
    <row r="26" spans="1:21" ht="15" hidden="1" outlineLevel="2">
      <c r="A26" s="6" t="s">
        <v>242</v>
      </c>
      <c r="B26" s="7" t="s">
        <v>238</v>
      </c>
      <c r="C26" s="7" t="s">
        <v>243</v>
      </c>
      <c r="D26" s="8" t="s">
        <v>244</v>
      </c>
      <c r="E26" s="42" t="s">
        <v>245</v>
      </c>
      <c r="F26" s="39" t="s">
        <v>53</v>
      </c>
      <c r="G26" s="24" t="s">
        <v>64</v>
      </c>
      <c r="H26" s="136">
        <v>12757.481514400002</v>
      </c>
      <c r="I26" s="149">
        <v>7076</v>
      </c>
      <c r="J26" s="136">
        <f t="shared" si="7"/>
        <v>424.56</v>
      </c>
      <c r="K26" s="136">
        <v>15</v>
      </c>
      <c r="L26" s="139"/>
      <c r="M26" s="139"/>
      <c r="N26" s="136"/>
      <c r="O26" s="11"/>
      <c r="P26" s="136"/>
      <c r="Q26" s="140"/>
      <c r="R26" s="136"/>
      <c r="S26" s="136"/>
      <c r="T26" s="136"/>
      <c r="U26" s="136">
        <f t="shared" si="6"/>
        <v>13197.041514400002</v>
      </c>
    </row>
    <row r="27" spans="1:21" ht="15" hidden="1" outlineLevel="2">
      <c r="A27" s="6" t="s">
        <v>242</v>
      </c>
      <c r="B27" s="7" t="s">
        <v>238</v>
      </c>
      <c r="C27" s="7" t="s">
        <v>243</v>
      </c>
      <c r="D27" s="8" t="s">
        <v>244</v>
      </c>
      <c r="E27" s="42" t="s">
        <v>245</v>
      </c>
      <c r="F27" s="39" t="s">
        <v>53</v>
      </c>
      <c r="G27" s="24" t="s">
        <v>65</v>
      </c>
      <c r="H27" s="136">
        <v>2732.7596058000017</v>
      </c>
      <c r="I27" s="149">
        <v>4388</v>
      </c>
      <c r="J27" s="136">
        <f t="shared" si="7"/>
        <v>263.28</v>
      </c>
      <c r="K27" s="136">
        <v>45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 t="shared" si="6"/>
        <v>3041.0396058000015</v>
      </c>
    </row>
    <row r="28" spans="1:21" ht="15" hidden="1" outlineLevel="2">
      <c r="A28" s="6" t="s">
        <v>242</v>
      </c>
      <c r="B28" s="7" t="s">
        <v>238</v>
      </c>
      <c r="C28" s="7" t="s">
        <v>243</v>
      </c>
      <c r="D28" s="8" t="s">
        <v>244</v>
      </c>
      <c r="E28" s="42" t="s">
        <v>245</v>
      </c>
      <c r="F28" s="39" t="s">
        <v>53</v>
      </c>
      <c r="G28" s="24" t="s">
        <v>66</v>
      </c>
      <c r="H28" s="136">
        <v>1403.1180282000005</v>
      </c>
      <c r="I28" s="149">
        <v>1243</v>
      </c>
      <c r="J28" s="136">
        <f t="shared" si="7"/>
        <v>74.58</v>
      </c>
      <c r="K28" s="136">
        <v>75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 t="shared" si="6"/>
        <v>1552.6980282000004</v>
      </c>
    </row>
    <row r="29" spans="1:21" ht="15" hidden="1" outlineLevel="2">
      <c r="A29" s="6" t="s">
        <v>242</v>
      </c>
      <c r="B29" s="7" t="s">
        <v>238</v>
      </c>
      <c r="C29" s="7" t="s">
        <v>243</v>
      </c>
      <c r="D29" s="8" t="s">
        <v>244</v>
      </c>
      <c r="E29" s="42" t="s">
        <v>245</v>
      </c>
      <c r="F29" s="39" t="s">
        <v>53</v>
      </c>
      <c r="G29" s="11" t="s">
        <v>247</v>
      </c>
      <c r="H29" s="136">
        <v>12.436395999999998</v>
      </c>
      <c r="I29" s="140">
        <v>2</v>
      </c>
      <c r="J29" s="136">
        <f t="shared" si="7"/>
        <v>0.12</v>
      </c>
      <c r="K29" s="136">
        <v>0</v>
      </c>
      <c r="L29" s="139"/>
      <c r="M29" s="139"/>
      <c r="N29" s="136"/>
      <c r="O29" s="11"/>
      <c r="P29" s="136"/>
      <c r="Q29" s="140"/>
      <c r="R29" s="136"/>
      <c r="S29" s="136"/>
      <c r="T29" s="136"/>
      <c r="U29" s="136">
        <f t="shared" si="6"/>
        <v>12.556395999999998</v>
      </c>
    </row>
    <row r="30" spans="1:21" ht="15" hidden="1" outlineLevel="2">
      <c r="A30" s="6" t="s">
        <v>242</v>
      </c>
      <c r="B30" s="7" t="s">
        <v>238</v>
      </c>
      <c r="C30" s="7" t="s">
        <v>243</v>
      </c>
      <c r="D30" s="8" t="s">
        <v>244</v>
      </c>
      <c r="E30" s="42" t="s">
        <v>245</v>
      </c>
      <c r="F30" s="39" t="s">
        <v>53</v>
      </c>
      <c r="G30" s="24" t="s">
        <v>167</v>
      </c>
      <c r="H30" s="136">
        <v>64.5811768</v>
      </c>
      <c r="I30" s="149">
        <v>50</v>
      </c>
      <c r="J30" s="136">
        <f t="shared" si="7"/>
        <v>3</v>
      </c>
      <c r="K30" s="136">
        <v>45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 t="shared" si="6"/>
        <v>112.5811768</v>
      </c>
    </row>
    <row r="31" spans="1:21" ht="15" hidden="1" outlineLevel="2">
      <c r="A31" s="6" t="s">
        <v>242</v>
      </c>
      <c r="B31" s="7" t="s">
        <v>238</v>
      </c>
      <c r="C31" s="7" t="s">
        <v>243</v>
      </c>
      <c r="D31" s="8" t="s">
        <v>244</v>
      </c>
      <c r="E31" s="42" t="s">
        <v>245</v>
      </c>
      <c r="F31" s="39" t="s">
        <v>53</v>
      </c>
      <c r="G31" s="24" t="s">
        <v>248</v>
      </c>
      <c r="H31" s="136">
        <v>3.9951659999999998</v>
      </c>
      <c r="I31" s="149">
        <v>1</v>
      </c>
      <c r="J31" s="136">
        <f t="shared" si="7"/>
        <v>0.06</v>
      </c>
      <c r="K31" s="136">
        <v>0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 t="shared" si="6"/>
        <v>4.055166</v>
      </c>
    </row>
    <row r="32" spans="1:21" ht="15" hidden="1" outlineLevel="2">
      <c r="A32" s="6" t="str">
        <f>A31</f>
        <v>M243</v>
      </c>
      <c r="B32" s="11" t="str">
        <f>B31</f>
        <v>DA</v>
      </c>
      <c r="C32" s="11" t="str">
        <f>C31</f>
        <v>FAMILY &amp; COMMUNITY JUSTICE</v>
      </c>
      <c r="D32" s="13" t="str">
        <f>D31</f>
        <v>da sed.66</v>
      </c>
      <c r="E32" s="24" t="str">
        <f>E31</f>
        <v>15-30</v>
      </c>
      <c r="F32" s="39" t="s">
        <v>585</v>
      </c>
      <c r="G32" s="24" t="s">
        <v>585</v>
      </c>
      <c r="H32" s="136"/>
      <c r="I32" s="149"/>
      <c r="J32" s="136"/>
      <c r="K32" s="136"/>
      <c r="L32" s="139">
        <v>2.5</v>
      </c>
      <c r="M32" s="139">
        <v>0.95</v>
      </c>
      <c r="N32" s="136">
        <f>L32*M32*$N$2</f>
        <v>7445.625</v>
      </c>
      <c r="O32" s="11"/>
      <c r="P32" s="136"/>
      <c r="Q32" s="140"/>
      <c r="R32" s="136"/>
      <c r="S32" s="136"/>
      <c r="T32" s="136"/>
      <c r="U32" s="136">
        <f t="shared" si="6"/>
        <v>7445.625</v>
      </c>
    </row>
    <row r="33" spans="1:21" ht="15" hidden="1" outlineLevel="2">
      <c r="A33" s="28" t="s">
        <v>242</v>
      </c>
      <c r="B33" s="11" t="str">
        <f>B32</f>
        <v>DA</v>
      </c>
      <c r="C33" s="11" t="str">
        <f>C32</f>
        <v>FAMILY &amp; COMMUNITY JUSTICE</v>
      </c>
      <c r="D33" s="13" t="str">
        <f>D32</f>
        <v>da sed.66</v>
      </c>
      <c r="E33" s="38" t="str">
        <f>E32</f>
        <v>15-30</v>
      </c>
      <c r="F33" s="20" t="s">
        <v>615</v>
      </c>
      <c r="G33" s="11" t="s">
        <v>615</v>
      </c>
      <c r="H33" s="136"/>
      <c r="I33" s="140"/>
      <c r="J33" s="136"/>
      <c r="K33" s="136"/>
      <c r="L33" s="139"/>
      <c r="M33" s="139"/>
      <c r="N33" s="136"/>
      <c r="O33" s="29">
        <f>5+2</f>
        <v>7</v>
      </c>
      <c r="P33" s="136">
        <f>O33*$P$2</f>
        <v>504</v>
      </c>
      <c r="Q33" s="140"/>
      <c r="R33" s="136"/>
      <c r="S33" s="136"/>
      <c r="T33" s="136"/>
      <c r="U33" s="136">
        <f t="shared" si="6"/>
        <v>504</v>
      </c>
    </row>
    <row r="34" spans="1:21" ht="15" hidden="1" outlineLevel="2">
      <c r="A34" s="40" t="s">
        <v>242</v>
      </c>
      <c r="B34" s="11" t="str">
        <f>B32</f>
        <v>DA</v>
      </c>
      <c r="C34" s="11" t="str">
        <f>C32</f>
        <v>FAMILY &amp; COMMUNITY JUSTICE</v>
      </c>
      <c r="D34" s="13" t="str">
        <f>D32</f>
        <v>da sed.66</v>
      </c>
      <c r="E34" s="38" t="str">
        <f>E32</f>
        <v>15-30</v>
      </c>
      <c r="F34" s="20" t="s">
        <v>53</v>
      </c>
      <c r="G34" s="11" t="s">
        <v>684</v>
      </c>
      <c r="H34" s="136"/>
      <c r="I34" s="140"/>
      <c r="J34" s="136"/>
      <c r="K34" s="136"/>
      <c r="L34" s="139"/>
      <c r="M34" s="139"/>
      <c r="N34" s="136"/>
      <c r="O34" s="29"/>
      <c r="P34" s="136"/>
      <c r="Q34" s="140"/>
      <c r="R34" s="136">
        <v>170.96</v>
      </c>
      <c r="S34" s="136"/>
      <c r="T34" s="136"/>
      <c r="U34" s="136">
        <f t="shared" si="6"/>
        <v>170.96</v>
      </c>
    </row>
    <row r="35" spans="1:21" s="5" customFormat="1" ht="15.75" outlineLevel="1" collapsed="1">
      <c r="A35" s="64" t="s">
        <v>760</v>
      </c>
      <c r="B35" s="45"/>
      <c r="C35" s="45"/>
      <c r="D35" s="61"/>
      <c r="E35" s="52"/>
      <c r="F35" s="51"/>
      <c r="G35" s="45"/>
      <c r="H35" s="137">
        <f aca="true" t="shared" si="8" ref="H35:U35">SUBTOTAL(9,H23:H34)</f>
        <v>27948.839127999996</v>
      </c>
      <c r="I35" s="167">
        <f t="shared" si="8"/>
        <v>36362</v>
      </c>
      <c r="J35" s="137">
        <f t="shared" si="8"/>
        <v>3086.2000000000003</v>
      </c>
      <c r="K35" s="137">
        <f t="shared" si="8"/>
        <v>180</v>
      </c>
      <c r="L35" s="141">
        <f t="shared" si="8"/>
        <v>2.5</v>
      </c>
      <c r="M35" s="141">
        <f t="shared" si="8"/>
        <v>0.95</v>
      </c>
      <c r="N35" s="137">
        <f t="shared" si="8"/>
        <v>7445.625</v>
      </c>
      <c r="O35" s="65">
        <f t="shared" si="8"/>
        <v>7</v>
      </c>
      <c r="P35" s="137">
        <f t="shared" si="8"/>
        <v>504</v>
      </c>
      <c r="Q35" s="167">
        <f t="shared" si="8"/>
        <v>0</v>
      </c>
      <c r="R35" s="137">
        <f t="shared" si="8"/>
        <v>170.96</v>
      </c>
      <c r="S35" s="137">
        <f t="shared" si="8"/>
        <v>0</v>
      </c>
      <c r="T35" s="137">
        <f t="shared" si="8"/>
        <v>0</v>
      </c>
      <c r="U35" s="137">
        <f t="shared" si="8"/>
        <v>39335.62412799999</v>
      </c>
    </row>
    <row r="36" spans="1:21" ht="15" hidden="1" outlineLevel="2">
      <c r="A36" s="9" t="s">
        <v>11</v>
      </c>
      <c r="B36" s="25" t="s">
        <v>238</v>
      </c>
      <c r="C36" s="16" t="s">
        <v>595</v>
      </c>
      <c r="D36" s="26">
        <v>151601</v>
      </c>
      <c r="E36" s="27" t="s">
        <v>596</v>
      </c>
      <c r="F36" s="20" t="s">
        <v>585</v>
      </c>
      <c r="G36" s="27" t="s">
        <v>585</v>
      </c>
      <c r="H36" s="136"/>
      <c r="I36" s="149"/>
      <c r="J36" s="136"/>
      <c r="K36" s="136"/>
      <c r="L36" s="139">
        <v>2</v>
      </c>
      <c r="M36" s="139">
        <v>1</v>
      </c>
      <c r="N36" s="136">
        <f>L36*M36*$N$2</f>
        <v>6270</v>
      </c>
      <c r="O36" s="11"/>
      <c r="P36" s="136"/>
      <c r="Q36" s="140"/>
      <c r="R36" s="136"/>
      <c r="S36" s="136"/>
      <c r="T36" s="136"/>
      <c r="U36" s="136">
        <f>H36+J36+K36+N36+P36+R36+S36+T36</f>
        <v>6270</v>
      </c>
    </row>
    <row r="37" spans="1:21" s="5" customFormat="1" ht="15.75" outlineLevel="1" collapsed="1">
      <c r="A37" s="64" t="s">
        <v>761</v>
      </c>
      <c r="B37" s="45"/>
      <c r="C37" s="45"/>
      <c r="D37" s="61"/>
      <c r="E37" s="52"/>
      <c r="F37" s="51"/>
      <c r="G37" s="45"/>
      <c r="H37" s="137">
        <f aca="true" t="shared" si="9" ref="H37:U37">SUBTOTAL(9,H36:H36)</f>
        <v>0</v>
      </c>
      <c r="I37" s="167">
        <f t="shared" si="9"/>
        <v>0</v>
      </c>
      <c r="J37" s="137">
        <f t="shared" si="9"/>
        <v>0</v>
      </c>
      <c r="K37" s="137">
        <f t="shared" si="9"/>
        <v>0</v>
      </c>
      <c r="L37" s="141">
        <f t="shared" si="9"/>
        <v>2</v>
      </c>
      <c r="M37" s="141">
        <f t="shared" si="9"/>
        <v>1</v>
      </c>
      <c r="N37" s="137">
        <f t="shared" si="9"/>
        <v>6270</v>
      </c>
      <c r="O37" s="65">
        <f t="shared" si="9"/>
        <v>0</v>
      </c>
      <c r="P37" s="137">
        <f t="shared" si="9"/>
        <v>0</v>
      </c>
      <c r="Q37" s="167">
        <f t="shared" si="9"/>
        <v>0</v>
      </c>
      <c r="R37" s="137">
        <f t="shared" si="9"/>
        <v>0</v>
      </c>
      <c r="S37" s="137">
        <f t="shared" si="9"/>
        <v>0</v>
      </c>
      <c r="T37" s="137">
        <f t="shared" si="9"/>
        <v>0</v>
      </c>
      <c r="U37" s="137">
        <f t="shared" si="9"/>
        <v>6270</v>
      </c>
    </row>
    <row r="38" spans="1:21" ht="15" hidden="1" outlineLevel="2">
      <c r="A38" s="9" t="s">
        <v>12</v>
      </c>
      <c r="B38" s="25" t="s">
        <v>238</v>
      </c>
      <c r="C38" s="16" t="s">
        <v>595</v>
      </c>
      <c r="D38" s="26">
        <v>151401</v>
      </c>
      <c r="E38" s="27" t="s">
        <v>596</v>
      </c>
      <c r="F38" s="20" t="s">
        <v>585</v>
      </c>
      <c r="G38" s="27" t="s">
        <v>585</v>
      </c>
      <c r="H38" s="136"/>
      <c r="I38" s="149"/>
      <c r="J38" s="136"/>
      <c r="K38" s="136"/>
      <c r="L38" s="139">
        <v>2</v>
      </c>
      <c r="M38" s="139">
        <v>1</v>
      </c>
      <c r="N38" s="136">
        <f>L38*M38*$N$2</f>
        <v>6270</v>
      </c>
      <c r="O38" s="11"/>
      <c r="P38" s="136"/>
      <c r="Q38" s="140"/>
      <c r="R38" s="136"/>
      <c r="S38" s="136"/>
      <c r="T38" s="136"/>
      <c r="U38" s="136">
        <f>H38+J38+K38+N38+P38+R38+S38+T38</f>
        <v>6270</v>
      </c>
    </row>
    <row r="39" spans="1:21" ht="15" hidden="1" outlineLevel="2">
      <c r="A39" s="28" t="s">
        <v>12</v>
      </c>
      <c r="B39" s="11" t="str">
        <f>B38</f>
        <v>DA</v>
      </c>
      <c r="C39" s="11" t="str">
        <f>C38</f>
        <v>FELONY</v>
      </c>
      <c r="D39" s="13">
        <f>D38</f>
        <v>151401</v>
      </c>
      <c r="E39" s="38" t="str">
        <f>E38</f>
        <v>15-10</v>
      </c>
      <c r="F39" s="20" t="s">
        <v>615</v>
      </c>
      <c r="G39" s="11" t="s">
        <v>615</v>
      </c>
      <c r="H39" s="136"/>
      <c r="I39" s="140"/>
      <c r="J39" s="136"/>
      <c r="K39" s="136"/>
      <c r="L39" s="139"/>
      <c r="M39" s="139"/>
      <c r="N39" s="136"/>
      <c r="O39" s="29">
        <f>0.75+1.75</f>
        <v>2.5</v>
      </c>
      <c r="P39" s="136">
        <f>O39*$P$2</f>
        <v>180</v>
      </c>
      <c r="Q39" s="140"/>
      <c r="R39" s="136"/>
      <c r="S39" s="136"/>
      <c r="T39" s="136"/>
      <c r="U39" s="136">
        <f>H39+J39+K39+N39+P39+R39+S39+T39</f>
        <v>180</v>
      </c>
    </row>
    <row r="40" spans="1:21" s="5" customFormat="1" ht="15.75" outlineLevel="1" collapsed="1">
      <c r="A40" s="64" t="s">
        <v>762</v>
      </c>
      <c r="B40" s="45"/>
      <c r="C40" s="45"/>
      <c r="D40" s="61"/>
      <c r="E40" s="52"/>
      <c r="F40" s="51"/>
      <c r="G40" s="45"/>
      <c r="H40" s="137">
        <f aca="true" t="shared" si="10" ref="H40:U40">SUBTOTAL(9,H38:H39)</f>
        <v>0</v>
      </c>
      <c r="I40" s="167">
        <f t="shared" si="10"/>
        <v>0</v>
      </c>
      <c r="J40" s="137">
        <f t="shared" si="10"/>
        <v>0</v>
      </c>
      <c r="K40" s="137">
        <f t="shared" si="10"/>
        <v>0</v>
      </c>
      <c r="L40" s="141">
        <f t="shared" si="10"/>
        <v>2</v>
      </c>
      <c r="M40" s="141">
        <f t="shared" si="10"/>
        <v>1</v>
      </c>
      <c r="N40" s="137">
        <f t="shared" si="10"/>
        <v>6270</v>
      </c>
      <c r="O40" s="65">
        <f t="shared" si="10"/>
        <v>2.5</v>
      </c>
      <c r="P40" s="137">
        <f t="shared" si="10"/>
        <v>180</v>
      </c>
      <c r="Q40" s="167">
        <f t="shared" si="10"/>
        <v>0</v>
      </c>
      <c r="R40" s="137">
        <f t="shared" si="10"/>
        <v>0</v>
      </c>
      <c r="S40" s="137">
        <f t="shared" si="10"/>
        <v>0</v>
      </c>
      <c r="T40" s="137">
        <f t="shared" si="10"/>
        <v>0</v>
      </c>
      <c r="U40" s="137">
        <f t="shared" si="10"/>
        <v>6450</v>
      </c>
    </row>
    <row r="41" spans="1:21" ht="15" hidden="1" outlineLevel="2">
      <c r="A41" s="9" t="s">
        <v>13</v>
      </c>
      <c r="B41" s="25" t="s">
        <v>238</v>
      </c>
      <c r="C41" s="16" t="s">
        <v>243</v>
      </c>
      <c r="D41" s="26">
        <v>153300</v>
      </c>
      <c r="E41" s="27" t="s">
        <v>245</v>
      </c>
      <c r="F41" s="20" t="s">
        <v>585</v>
      </c>
      <c r="G41" s="27" t="s">
        <v>585</v>
      </c>
      <c r="H41" s="136"/>
      <c r="I41" s="149"/>
      <c r="J41" s="136"/>
      <c r="K41" s="136"/>
      <c r="L41" s="139">
        <v>1</v>
      </c>
      <c r="M41" s="139">
        <v>1</v>
      </c>
      <c r="N41" s="136">
        <f>L41*M41*$N$2</f>
        <v>3135</v>
      </c>
      <c r="O41" s="11"/>
      <c r="P41" s="136"/>
      <c r="Q41" s="140"/>
      <c r="R41" s="136"/>
      <c r="S41" s="136"/>
      <c r="T41" s="136"/>
      <c r="U41" s="136">
        <f>H41+J41+K41+N41+P41+R41+S41+T41</f>
        <v>3135</v>
      </c>
    </row>
    <row r="42" spans="1:21" s="5" customFormat="1" ht="15.75" outlineLevel="1" collapsed="1">
      <c r="A42" s="64" t="s">
        <v>763</v>
      </c>
      <c r="B42" s="45"/>
      <c r="C42" s="45"/>
      <c r="D42" s="61"/>
      <c r="E42" s="52"/>
      <c r="F42" s="51"/>
      <c r="G42" s="45"/>
      <c r="H42" s="137">
        <f aca="true" t="shared" si="11" ref="H42:U42">SUBTOTAL(9,H41:H41)</f>
        <v>0</v>
      </c>
      <c r="I42" s="167">
        <f t="shared" si="11"/>
        <v>0</v>
      </c>
      <c r="J42" s="137">
        <f t="shared" si="11"/>
        <v>0</v>
      </c>
      <c r="K42" s="137">
        <f t="shared" si="11"/>
        <v>0</v>
      </c>
      <c r="L42" s="141">
        <f t="shared" si="11"/>
        <v>1</v>
      </c>
      <c r="M42" s="141">
        <f t="shared" si="11"/>
        <v>1</v>
      </c>
      <c r="N42" s="137">
        <f t="shared" si="11"/>
        <v>3135</v>
      </c>
      <c r="O42" s="65">
        <f t="shared" si="11"/>
        <v>0</v>
      </c>
      <c r="P42" s="137">
        <f t="shared" si="11"/>
        <v>0</v>
      </c>
      <c r="Q42" s="167">
        <f t="shared" si="11"/>
        <v>0</v>
      </c>
      <c r="R42" s="137">
        <f t="shared" si="11"/>
        <v>0</v>
      </c>
      <c r="S42" s="137">
        <f t="shared" si="11"/>
        <v>0</v>
      </c>
      <c r="T42" s="137">
        <f t="shared" si="11"/>
        <v>0</v>
      </c>
      <c r="U42" s="137">
        <f t="shared" si="11"/>
        <v>3135</v>
      </c>
    </row>
    <row r="43" spans="1:21" ht="15" hidden="1" outlineLevel="2">
      <c r="A43" s="6" t="s">
        <v>249</v>
      </c>
      <c r="B43" s="7" t="s">
        <v>238</v>
      </c>
      <c r="C43" s="7" t="s">
        <v>243</v>
      </c>
      <c r="D43" s="8" t="s">
        <v>250</v>
      </c>
      <c r="E43" s="42" t="s">
        <v>245</v>
      </c>
      <c r="F43" s="39" t="s">
        <v>53</v>
      </c>
      <c r="G43" s="24" t="s">
        <v>62</v>
      </c>
      <c r="H43" s="136">
        <v>7453.960516799995</v>
      </c>
      <c r="I43" s="149">
        <v>22584</v>
      </c>
      <c r="J43" s="136">
        <f>I43*$J$1</f>
        <v>2258.4</v>
      </c>
      <c r="K43" s="136">
        <v>30</v>
      </c>
      <c r="L43" s="139"/>
      <c r="M43" s="139"/>
      <c r="N43" s="136"/>
      <c r="O43" s="11"/>
      <c r="P43" s="136"/>
      <c r="Q43" s="140"/>
      <c r="R43" s="136"/>
      <c r="S43" s="136"/>
      <c r="T43" s="136"/>
      <c r="U43" s="136">
        <f aca="true" t="shared" si="12" ref="U43:U50">H43+J43+K43+N43+P43+R43+S43+T43</f>
        <v>9742.360516799996</v>
      </c>
    </row>
    <row r="44" spans="1:21" ht="15" hidden="1" outlineLevel="2">
      <c r="A44" s="6" t="s">
        <v>249</v>
      </c>
      <c r="B44" s="7" t="s">
        <v>238</v>
      </c>
      <c r="C44" s="7" t="s">
        <v>243</v>
      </c>
      <c r="D44" s="8" t="s">
        <v>250</v>
      </c>
      <c r="E44" s="42" t="s">
        <v>245</v>
      </c>
      <c r="F44" s="39" t="s">
        <v>53</v>
      </c>
      <c r="G44" s="24" t="s">
        <v>63</v>
      </c>
      <c r="H44" s="136">
        <v>199.0651754</v>
      </c>
      <c r="I44" s="149">
        <v>128</v>
      </c>
      <c r="J44" s="136">
        <f>I44*$J$2</f>
        <v>7.68</v>
      </c>
      <c r="K44" s="136">
        <v>0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 t="shared" si="12"/>
        <v>206.7451754</v>
      </c>
    </row>
    <row r="45" spans="1:21" ht="15" hidden="1" outlineLevel="2">
      <c r="A45" s="6" t="s">
        <v>249</v>
      </c>
      <c r="B45" s="7" t="s">
        <v>238</v>
      </c>
      <c r="C45" s="7" t="s">
        <v>243</v>
      </c>
      <c r="D45" s="8" t="s">
        <v>250</v>
      </c>
      <c r="E45" s="42" t="s">
        <v>245</v>
      </c>
      <c r="F45" s="39" t="s">
        <v>53</v>
      </c>
      <c r="G45" s="24" t="s">
        <v>64</v>
      </c>
      <c r="H45" s="136">
        <v>252.24282719999997</v>
      </c>
      <c r="I45" s="149">
        <v>221</v>
      </c>
      <c r="J45" s="136">
        <f>I45*$J$2</f>
        <v>13.26</v>
      </c>
      <c r="K45" s="136">
        <v>0</v>
      </c>
      <c r="L45" s="139"/>
      <c r="M45" s="139"/>
      <c r="N45" s="136"/>
      <c r="O45" s="11"/>
      <c r="P45" s="136"/>
      <c r="Q45" s="140"/>
      <c r="R45" s="136"/>
      <c r="S45" s="136"/>
      <c r="T45" s="136"/>
      <c r="U45" s="136">
        <f t="shared" si="12"/>
        <v>265.50282719999996</v>
      </c>
    </row>
    <row r="46" spans="1:21" ht="15" hidden="1" outlineLevel="2">
      <c r="A46" s="6" t="s">
        <v>249</v>
      </c>
      <c r="B46" s="7" t="s">
        <v>238</v>
      </c>
      <c r="C46" s="7" t="s">
        <v>243</v>
      </c>
      <c r="D46" s="8" t="s">
        <v>250</v>
      </c>
      <c r="E46" s="42" t="s">
        <v>245</v>
      </c>
      <c r="F46" s="39" t="s">
        <v>53</v>
      </c>
      <c r="G46" s="24" t="s">
        <v>65</v>
      </c>
      <c r="H46" s="136">
        <v>2977.1484189999987</v>
      </c>
      <c r="I46" s="149">
        <v>6876</v>
      </c>
      <c r="J46" s="136">
        <f>I46*$J$2</f>
        <v>412.56</v>
      </c>
      <c r="K46" s="136">
        <v>105</v>
      </c>
      <c r="L46" s="139"/>
      <c r="M46" s="139"/>
      <c r="N46" s="136"/>
      <c r="O46" s="11"/>
      <c r="P46" s="136"/>
      <c r="Q46" s="140"/>
      <c r="R46" s="136"/>
      <c r="S46" s="136"/>
      <c r="T46" s="136"/>
      <c r="U46" s="136">
        <f t="shared" si="12"/>
        <v>3494.7084189999987</v>
      </c>
    </row>
    <row r="47" spans="1:21" ht="15" hidden="1" outlineLevel="2">
      <c r="A47" s="6" t="s">
        <v>249</v>
      </c>
      <c r="B47" s="7" t="s">
        <v>238</v>
      </c>
      <c r="C47" s="7" t="s">
        <v>243</v>
      </c>
      <c r="D47" s="8" t="s">
        <v>250</v>
      </c>
      <c r="E47" s="42" t="s">
        <v>245</v>
      </c>
      <c r="F47" s="39" t="s">
        <v>53</v>
      </c>
      <c r="G47" s="24" t="s">
        <v>66</v>
      </c>
      <c r="H47" s="136">
        <v>63.7213248</v>
      </c>
      <c r="I47" s="149">
        <v>108</v>
      </c>
      <c r="J47" s="136">
        <f>I47*$J$2</f>
        <v>6.4799999999999995</v>
      </c>
      <c r="K47" s="136">
        <v>45</v>
      </c>
      <c r="L47" s="139"/>
      <c r="M47" s="139"/>
      <c r="N47" s="136"/>
      <c r="O47" s="11"/>
      <c r="P47" s="136"/>
      <c r="Q47" s="140"/>
      <c r="R47" s="136"/>
      <c r="S47" s="136"/>
      <c r="T47" s="136"/>
      <c r="U47" s="136">
        <f t="shared" si="12"/>
        <v>115.2013248</v>
      </c>
    </row>
    <row r="48" spans="1:21" ht="15" hidden="1" outlineLevel="2">
      <c r="A48" s="6" t="s">
        <v>249</v>
      </c>
      <c r="B48" s="7" t="s">
        <v>238</v>
      </c>
      <c r="C48" s="7" t="s">
        <v>243</v>
      </c>
      <c r="D48" s="8" t="s">
        <v>250</v>
      </c>
      <c r="E48" s="42" t="s">
        <v>245</v>
      </c>
      <c r="F48" s="39" t="s">
        <v>53</v>
      </c>
      <c r="G48" s="11" t="s">
        <v>167</v>
      </c>
      <c r="H48" s="136">
        <v>2.390808</v>
      </c>
      <c r="I48" s="140">
        <v>3</v>
      </c>
      <c r="J48" s="136">
        <f>I48*$J$2</f>
        <v>0.18</v>
      </c>
      <c r="K48" s="136">
        <v>0</v>
      </c>
      <c r="L48" s="139"/>
      <c r="M48" s="139"/>
      <c r="N48" s="136"/>
      <c r="O48" s="11"/>
      <c r="P48" s="136"/>
      <c r="Q48" s="140"/>
      <c r="R48" s="136"/>
      <c r="S48" s="136"/>
      <c r="T48" s="136"/>
      <c r="U48" s="136">
        <f t="shared" si="12"/>
        <v>2.570808</v>
      </c>
    </row>
    <row r="49" spans="1:21" ht="15" hidden="1" outlineLevel="2">
      <c r="A49" s="6" t="str">
        <f>A48</f>
        <v>M247</v>
      </c>
      <c r="B49" s="11" t="str">
        <f>B48</f>
        <v>DA</v>
      </c>
      <c r="C49" s="11" t="str">
        <f>C48</f>
        <v>FAMILY &amp; COMMUNITY JUSTICE</v>
      </c>
      <c r="D49" s="13" t="str">
        <f>D48</f>
        <v>153800</v>
      </c>
      <c r="E49" s="24" t="str">
        <f>E48</f>
        <v>15-30</v>
      </c>
      <c r="F49" s="39" t="s">
        <v>585</v>
      </c>
      <c r="G49" s="24" t="s">
        <v>585</v>
      </c>
      <c r="H49" s="136"/>
      <c r="I49" s="140"/>
      <c r="J49" s="136"/>
      <c r="K49" s="136"/>
      <c r="L49" s="139">
        <v>2</v>
      </c>
      <c r="M49" s="139">
        <v>1</v>
      </c>
      <c r="N49" s="136">
        <f>L49*M49*$N$2</f>
        <v>6270</v>
      </c>
      <c r="O49" s="11"/>
      <c r="P49" s="136"/>
      <c r="Q49" s="140"/>
      <c r="R49" s="136"/>
      <c r="S49" s="136"/>
      <c r="T49" s="136"/>
      <c r="U49" s="136">
        <f t="shared" si="12"/>
        <v>6270</v>
      </c>
    </row>
    <row r="50" spans="1:21" ht="15" hidden="1" outlineLevel="2">
      <c r="A50" s="28" t="s">
        <v>249</v>
      </c>
      <c r="B50" s="11" t="str">
        <f>B49</f>
        <v>DA</v>
      </c>
      <c r="C50" s="11" t="str">
        <f>C49</f>
        <v>FAMILY &amp; COMMUNITY JUSTICE</v>
      </c>
      <c r="D50" s="13" t="str">
        <f>D49</f>
        <v>153800</v>
      </c>
      <c r="E50" s="38" t="str">
        <f>E49</f>
        <v>15-30</v>
      </c>
      <c r="F50" s="20" t="s">
        <v>615</v>
      </c>
      <c r="G50" s="11" t="s">
        <v>615</v>
      </c>
      <c r="H50" s="136"/>
      <c r="I50" s="140"/>
      <c r="J50" s="136"/>
      <c r="K50" s="136"/>
      <c r="L50" s="139"/>
      <c r="M50" s="139"/>
      <c r="N50" s="136"/>
      <c r="O50" s="29">
        <f>2+0.75</f>
        <v>2.75</v>
      </c>
      <c r="P50" s="136">
        <f>O50*$P$2</f>
        <v>198</v>
      </c>
      <c r="Q50" s="140"/>
      <c r="R50" s="136"/>
      <c r="S50" s="136"/>
      <c r="T50" s="136"/>
      <c r="U50" s="136">
        <f t="shared" si="12"/>
        <v>198</v>
      </c>
    </row>
    <row r="51" spans="1:21" s="5" customFormat="1" ht="15.75" outlineLevel="1" collapsed="1">
      <c r="A51" s="64" t="s">
        <v>764</v>
      </c>
      <c r="B51" s="45"/>
      <c r="C51" s="45"/>
      <c r="D51" s="61"/>
      <c r="E51" s="52"/>
      <c r="F51" s="51"/>
      <c r="G51" s="45"/>
      <c r="H51" s="137">
        <f aca="true" t="shared" si="13" ref="H51:U51">SUBTOTAL(9,H43:H50)</f>
        <v>10948.529071199995</v>
      </c>
      <c r="I51" s="167">
        <f t="shared" si="13"/>
        <v>29920</v>
      </c>
      <c r="J51" s="137">
        <f t="shared" si="13"/>
        <v>2698.56</v>
      </c>
      <c r="K51" s="137">
        <f t="shared" si="13"/>
        <v>180</v>
      </c>
      <c r="L51" s="141">
        <f t="shared" si="13"/>
        <v>2</v>
      </c>
      <c r="M51" s="141">
        <f t="shared" si="13"/>
        <v>1</v>
      </c>
      <c r="N51" s="137">
        <f t="shared" si="13"/>
        <v>6270</v>
      </c>
      <c r="O51" s="65">
        <f t="shared" si="13"/>
        <v>2.75</v>
      </c>
      <c r="P51" s="137">
        <f t="shared" si="13"/>
        <v>198</v>
      </c>
      <c r="Q51" s="167">
        <f t="shared" si="13"/>
        <v>0</v>
      </c>
      <c r="R51" s="137">
        <f t="shared" si="13"/>
        <v>0</v>
      </c>
      <c r="S51" s="137">
        <f t="shared" si="13"/>
        <v>0</v>
      </c>
      <c r="T51" s="137">
        <f t="shared" si="13"/>
        <v>0</v>
      </c>
      <c r="U51" s="137">
        <f t="shared" si="13"/>
        <v>20295.089071199996</v>
      </c>
    </row>
    <row r="52" spans="1:21" ht="15" hidden="1" outlineLevel="2">
      <c r="A52" s="9" t="s">
        <v>14</v>
      </c>
      <c r="B52" s="25" t="s">
        <v>238</v>
      </c>
      <c r="C52" s="16" t="s">
        <v>243</v>
      </c>
      <c r="D52" s="26" t="s">
        <v>597</v>
      </c>
      <c r="E52" s="27" t="s">
        <v>245</v>
      </c>
      <c r="F52" s="20" t="s">
        <v>585</v>
      </c>
      <c r="G52" s="27" t="s">
        <v>585</v>
      </c>
      <c r="H52" s="136"/>
      <c r="I52" s="149"/>
      <c r="J52" s="136"/>
      <c r="K52" s="136"/>
      <c r="L52" s="139">
        <v>1</v>
      </c>
      <c r="M52" s="139">
        <v>1</v>
      </c>
      <c r="N52" s="136">
        <f>L52*M52*$N$2</f>
        <v>3135</v>
      </c>
      <c r="O52" s="11"/>
      <c r="P52" s="136"/>
      <c r="Q52" s="140"/>
      <c r="R52" s="136"/>
      <c r="S52" s="136"/>
      <c r="T52" s="136"/>
      <c r="U52" s="136">
        <f>H52+J52+K52+N52+P52+R52+S52+T52</f>
        <v>3135</v>
      </c>
    </row>
    <row r="53" spans="1:21" ht="15" hidden="1" outlineLevel="2">
      <c r="A53" s="9" t="s">
        <v>14</v>
      </c>
      <c r="B53" s="25" t="s">
        <v>238</v>
      </c>
      <c r="C53" s="16" t="s">
        <v>243</v>
      </c>
      <c r="D53" s="26" t="s">
        <v>597</v>
      </c>
      <c r="E53" s="27" t="s">
        <v>245</v>
      </c>
      <c r="F53" s="20" t="s">
        <v>53</v>
      </c>
      <c r="G53" s="27" t="s">
        <v>684</v>
      </c>
      <c r="H53" s="136"/>
      <c r="I53" s="149"/>
      <c r="J53" s="136"/>
      <c r="K53" s="136"/>
      <c r="L53" s="139"/>
      <c r="M53" s="139"/>
      <c r="N53" s="136"/>
      <c r="O53" s="11"/>
      <c r="P53" s="136"/>
      <c r="Q53" s="140"/>
      <c r="R53" s="136">
        <v>71.42</v>
      </c>
      <c r="S53" s="136"/>
      <c r="T53" s="136"/>
      <c r="U53" s="136">
        <f>H53+J53+K53+N53+P53+R53+S53+T53</f>
        <v>71.42</v>
      </c>
    </row>
    <row r="54" spans="1:21" s="5" customFormat="1" ht="15.75" outlineLevel="1" collapsed="1">
      <c r="A54" s="64" t="s">
        <v>765</v>
      </c>
      <c r="B54" s="45"/>
      <c r="C54" s="45"/>
      <c r="D54" s="61"/>
      <c r="E54" s="52"/>
      <c r="F54" s="51"/>
      <c r="G54" s="45"/>
      <c r="H54" s="137">
        <f aca="true" t="shared" si="14" ref="H54:U54">SUBTOTAL(9,H52:H53)</f>
        <v>0</v>
      </c>
      <c r="I54" s="167">
        <f t="shared" si="14"/>
        <v>0</v>
      </c>
      <c r="J54" s="137">
        <f t="shared" si="14"/>
        <v>0</v>
      </c>
      <c r="K54" s="137">
        <f t="shared" si="14"/>
        <v>0</v>
      </c>
      <c r="L54" s="141">
        <f t="shared" si="14"/>
        <v>1</v>
      </c>
      <c r="M54" s="141">
        <f t="shared" si="14"/>
        <v>1</v>
      </c>
      <c r="N54" s="137">
        <f t="shared" si="14"/>
        <v>3135</v>
      </c>
      <c r="O54" s="65">
        <f t="shared" si="14"/>
        <v>0</v>
      </c>
      <c r="P54" s="137">
        <f t="shared" si="14"/>
        <v>0</v>
      </c>
      <c r="Q54" s="167">
        <f t="shared" si="14"/>
        <v>0</v>
      </c>
      <c r="R54" s="137">
        <f t="shared" si="14"/>
        <v>71.42</v>
      </c>
      <c r="S54" s="137">
        <f t="shared" si="14"/>
        <v>0</v>
      </c>
      <c r="T54" s="137">
        <f t="shared" si="14"/>
        <v>0</v>
      </c>
      <c r="U54" s="137">
        <f t="shared" si="14"/>
        <v>3206.42</v>
      </c>
    </row>
    <row r="55" spans="1:21" ht="15" hidden="1" outlineLevel="2">
      <c r="A55" s="30" t="s">
        <v>616</v>
      </c>
      <c r="B55" s="17" t="s">
        <v>238</v>
      </c>
      <c r="C55" s="151" t="s">
        <v>626</v>
      </c>
      <c r="D55" s="20">
        <v>153100</v>
      </c>
      <c r="E55" s="38" t="s">
        <v>245</v>
      </c>
      <c r="F55" s="20" t="s">
        <v>615</v>
      </c>
      <c r="G55" s="17" t="s">
        <v>615</v>
      </c>
      <c r="H55" s="152"/>
      <c r="I55" s="153"/>
      <c r="J55" s="152"/>
      <c r="K55" s="152"/>
      <c r="L55" s="154"/>
      <c r="M55" s="154"/>
      <c r="N55" s="152"/>
      <c r="O55" s="32">
        <v>1.5</v>
      </c>
      <c r="P55" s="136">
        <f>O55*$P$2</f>
        <v>108</v>
      </c>
      <c r="Q55" s="153"/>
      <c r="R55" s="136"/>
      <c r="S55" s="152"/>
      <c r="T55" s="152"/>
      <c r="U55" s="136">
        <f>H55+J55+K55+N55+P55+R55+S55+T55</f>
        <v>108</v>
      </c>
    </row>
    <row r="56" spans="1:21" s="5" customFormat="1" ht="15.75" outlineLevel="1" collapsed="1">
      <c r="A56" s="64" t="s">
        <v>766</v>
      </c>
      <c r="B56" s="45"/>
      <c r="C56" s="45"/>
      <c r="D56" s="61"/>
      <c r="E56" s="52"/>
      <c r="F56" s="51"/>
      <c r="G56" s="45"/>
      <c r="H56" s="137">
        <f aca="true" t="shared" si="15" ref="H56:U56">SUBTOTAL(9,H55:H55)</f>
        <v>0</v>
      </c>
      <c r="I56" s="167">
        <f t="shared" si="15"/>
        <v>0</v>
      </c>
      <c r="J56" s="137">
        <f t="shared" si="15"/>
        <v>0</v>
      </c>
      <c r="K56" s="137">
        <f t="shared" si="15"/>
        <v>0</v>
      </c>
      <c r="L56" s="141">
        <f t="shared" si="15"/>
        <v>0</v>
      </c>
      <c r="M56" s="141">
        <f t="shared" si="15"/>
        <v>0</v>
      </c>
      <c r="N56" s="137">
        <f t="shared" si="15"/>
        <v>0</v>
      </c>
      <c r="O56" s="65">
        <f t="shared" si="15"/>
        <v>1.5</v>
      </c>
      <c r="P56" s="137">
        <f t="shared" si="15"/>
        <v>108</v>
      </c>
      <c r="Q56" s="167">
        <f t="shared" si="15"/>
        <v>0</v>
      </c>
      <c r="R56" s="137">
        <f t="shared" si="15"/>
        <v>0</v>
      </c>
      <c r="S56" s="137">
        <f t="shared" si="15"/>
        <v>0</v>
      </c>
      <c r="T56" s="137">
        <f t="shared" si="15"/>
        <v>0</v>
      </c>
      <c r="U56" s="137">
        <f t="shared" si="15"/>
        <v>108</v>
      </c>
    </row>
    <row r="57" spans="1:21" s="5" customFormat="1" ht="15.75" outlineLevel="1" collapsed="1">
      <c r="A57" s="64" t="s">
        <v>633</v>
      </c>
      <c r="B57" s="45"/>
      <c r="C57" s="45"/>
      <c r="D57" s="61"/>
      <c r="E57" s="52"/>
      <c r="F57" s="51"/>
      <c r="G57" s="45"/>
      <c r="H57" s="137">
        <f aca="true" t="shared" si="16" ref="H57:U57">SUBTOTAL(9,H4:H55)</f>
        <v>67627.42900759995</v>
      </c>
      <c r="I57" s="167">
        <f t="shared" si="16"/>
        <v>139322</v>
      </c>
      <c r="J57" s="137">
        <f t="shared" si="16"/>
        <v>12505.080000000002</v>
      </c>
      <c r="K57" s="137">
        <f t="shared" si="16"/>
        <v>540</v>
      </c>
      <c r="L57" s="141">
        <f t="shared" si="16"/>
        <v>20.5</v>
      </c>
      <c r="M57" s="141">
        <f t="shared" si="16"/>
        <v>8.45</v>
      </c>
      <c r="N57" s="137">
        <f t="shared" si="16"/>
        <v>60740.625</v>
      </c>
      <c r="O57" s="65">
        <f t="shared" si="16"/>
        <v>73.5</v>
      </c>
      <c r="P57" s="137">
        <f t="shared" si="16"/>
        <v>5292</v>
      </c>
      <c r="Q57" s="167">
        <f t="shared" si="16"/>
        <v>0</v>
      </c>
      <c r="R57" s="137">
        <f t="shared" si="16"/>
        <v>633.74</v>
      </c>
      <c r="S57" s="137">
        <f t="shared" si="16"/>
        <v>0</v>
      </c>
      <c r="T57" s="137">
        <f t="shared" si="16"/>
        <v>12.85</v>
      </c>
      <c r="U57" s="137">
        <f t="shared" si="16"/>
        <v>147351.72400759993</v>
      </c>
    </row>
  </sheetData>
  <autoFilter ref="A3:U55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5"/>
  <sheetViews>
    <sheetView zoomScale="80" zoomScaleNormal="80" workbookViewId="0" topLeftCell="A1">
      <selection activeCell="A9" sqref="A9:IV9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6" t="s">
        <v>77</v>
      </c>
      <c r="B4" s="11" t="s">
        <v>78</v>
      </c>
      <c r="C4" s="11" t="s">
        <v>79</v>
      </c>
      <c r="D4" s="13" t="s">
        <v>80</v>
      </c>
      <c r="E4" s="42" t="s">
        <v>81</v>
      </c>
      <c r="F4" s="39" t="s">
        <v>53</v>
      </c>
      <c r="G4" s="24" t="s">
        <v>62</v>
      </c>
      <c r="H4" s="136">
        <v>734.1636582000007</v>
      </c>
      <c r="I4" s="149">
        <v>2211</v>
      </c>
      <c r="J4" s="136">
        <f>I4*$J$1</f>
        <v>221.10000000000002</v>
      </c>
      <c r="K4" s="136">
        <v>60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>H4+J4+K4+N4+P4+R4+S4+T4</f>
        <v>1015.2636582000007</v>
      </c>
    </row>
    <row r="5" spans="1:21" ht="15" outlineLevel="2">
      <c r="A5" s="6" t="s">
        <v>77</v>
      </c>
      <c r="B5" s="11" t="s">
        <v>78</v>
      </c>
      <c r="C5" s="11" t="s">
        <v>79</v>
      </c>
      <c r="D5" s="13" t="s">
        <v>80</v>
      </c>
      <c r="E5" s="42" t="s">
        <v>81</v>
      </c>
      <c r="F5" s="39" t="s">
        <v>53</v>
      </c>
      <c r="G5" s="24" t="s">
        <v>63</v>
      </c>
      <c r="H5" s="136">
        <v>84.67445</v>
      </c>
      <c r="I5" s="149">
        <v>21</v>
      </c>
      <c r="J5" s="136">
        <f>I5*$J$2</f>
        <v>1.26</v>
      </c>
      <c r="K5" s="136">
        <v>15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>H5+J5+K5+N5+P5+R5+S5+T5</f>
        <v>100.93445</v>
      </c>
    </row>
    <row r="6" spans="1:21" ht="15" outlineLevel="2">
      <c r="A6" s="6" t="s">
        <v>77</v>
      </c>
      <c r="B6" s="11" t="s">
        <v>78</v>
      </c>
      <c r="C6" s="11" t="s">
        <v>79</v>
      </c>
      <c r="D6" s="13" t="s">
        <v>80</v>
      </c>
      <c r="E6" s="42" t="s">
        <v>81</v>
      </c>
      <c r="F6" s="39" t="s">
        <v>53</v>
      </c>
      <c r="G6" s="24" t="s">
        <v>64</v>
      </c>
      <c r="H6" s="136">
        <v>127.87152699999999</v>
      </c>
      <c r="I6" s="149">
        <v>69</v>
      </c>
      <c r="J6" s="136">
        <f>I6*$J$2</f>
        <v>4.14</v>
      </c>
      <c r="K6" s="136">
        <v>30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>H6+J6+K6+N6+P6+R6+S6+T6</f>
        <v>162.01152699999997</v>
      </c>
    </row>
    <row r="7" spans="1:21" ht="15" outlineLevel="2">
      <c r="A7" s="6" t="s">
        <v>77</v>
      </c>
      <c r="B7" s="11" t="s">
        <v>78</v>
      </c>
      <c r="C7" s="11" t="s">
        <v>79</v>
      </c>
      <c r="D7" s="13" t="s">
        <v>80</v>
      </c>
      <c r="E7" s="42" t="s">
        <v>81</v>
      </c>
      <c r="F7" s="39" t="s">
        <v>53</v>
      </c>
      <c r="G7" s="24" t="s">
        <v>65</v>
      </c>
      <c r="H7" s="136">
        <v>83.49582360000001</v>
      </c>
      <c r="I7" s="149">
        <v>158</v>
      </c>
      <c r="J7" s="136">
        <f>I7*$J$2</f>
        <v>9.48</v>
      </c>
      <c r="K7" s="136">
        <v>60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>H7+J7+K7+N7+P7+R7+S7+T7</f>
        <v>152.9758236</v>
      </c>
    </row>
    <row r="8" spans="1:21" ht="15" outlineLevel="2">
      <c r="A8" s="6" t="s">
        <v>77</v>
      </c>
      <c r="B8" s="11" t="s">
        <v>78</v>
      </c>
      <c r="C8" s="11" t="s">
        <v>79</v>
      </c>
      <c r="D8" s="13" t="s">
        <v>80</v>
      </c>
      <c r="E8" s="42" t="s">
        <v>81</v>
      </c>
      <c r="F8" s="39" t="s">
        <v>53</v>
      </c>
      <c r="G8" s="24" t="s">
        <v>66</v>
      </c>
      <c r="H8" s="136">
        <v>19.8122484</v>
      </c>
      <c r="I8" s="149">
        <v>19</v>
      </c>
      <c r="J8" s="136">
        <f>I8*$J$2</f>
        <v>1.14</v>
      </c>
      <c r="K8" s="136">
        <v>15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>H8+J8+K8+N8+P8+R8+S8+T8</f>
        <v>35.9522484</v>
      </c>
    </row>
    <row r="9" spans="1:21" s="5" customFormat="1" ht="15.75">
      <c r="A9" s="50" t="s">
        <v>768</v>
      </c>
      <c r="B9" s="49"/>
      <c r="C9" s="2"/>
      <c r="D9" s="61"/>
      <c r="E9" s="44"/>
      <c r="F9" s="51"/>
      <c r="G9" s="45"/>
      <c r="H9" s="137">
        <f aca="true" t="shared" si="0" ref="H9:U9">SUBTOTAL(9,H4:H8)</f>
        <v>1050.0177072000008</v>
      </c>
      <c r="I9" s="167">
        <f t="shared" si="0"/>
        <v>2478</v>
      </c>
      <c r="J9" s="137">
        <f t="shared" si="0"/>
        <v>237.11999999999998</v>
      </c>
      <c r="K9" s="137">
        <f t="shared" si="0"/>
        <v>180</v>
      </c>
      <c r="L9" s="141">
        <f t="shared" si="0"/>
        <v>0</v>
      </c>
      <c r="M9" s="141">
        <f t="shared" si="0"/>
        <v>0</v>
      </c>
      <c r="N9" s="137">
        <f t="shared" si="0"/>
        <v>0</v>
      </c>
      <c r="O9" s="169">
        <f t="shared" si="0"/>
        <v>0</v>
      </c>
      <c r="P9" s="137">
        <f t="shared" si="0"/>
        <v>0</v>
      </c>
      <c r="Q9" s="167">
        <f t="shared" si="0"/>
        <v>0</v>
      </c>
      <c r="R9" s="137">
        <f t="shared" si="0"/>
        <v>0</v>
      </c>
      <c r="S9" s="137">
        <f t="shared" si="0"/>
        <v>0</v>
      </c>
      <c r="T9" s="137">
        <f t="shared" si="0"/>
        <v>0</v>
      </c>
      <c r="U9" s="137">
        <f t="shared" si="0"/>
        <v>1467.1377072000005</v>
      </c>
    </row>
    <row r="10" spans="1:21" ht="15" outlineLevel="2">
      <c r="A10" s="6" t="s">
        <v>82</v>
      </c>
      <c r="B10" s="11" t="s">
        <v>78</v>
      </c>
      <c r="C10" s="11" t="s">
        <v>83</v>
      </c>
      <c r="D10" s="13" t="s">
        <v>84</v>
      </c>
      <c r="E10" s="42" t="s">
        <v>85</v>
      </c>
      <c r="F10" s="39" t="s">
        <v>53</v>
      </c>
      <c r="G10" s="24" t="s">
        <v>62</v>
      </c>
      <c r="H10" s="136">
        <v>779.2157086000001</v>
      </c>
      <c r="I10" s="149">
        <v>2344</v>
      </c>
      <c r="J10" s="136">
        <f>I10*$J$1</f>
        <v>234.4</v>
      </c>
      <c r="K10" s="136">
        <v>30</v>
      </c>
      <c r="L10" s="139"/>
      <c r="M10" s="139"/>
      <c r="N10" s="136"/>
      <c r="O10" s="11"/>
      <c r="P10" s="136"/>
      <c r="Q10" s="140"/>
      <c r="R10" s="136"/>
      <c r="S10" s="136"/>
      <c r="T10" s="136"/>
      <c r="U10" s="136">
        <f aca="true" t="shared" si="1" ref="U10:U17">H10+J10+K10+N10+P10+R10+S10+T10</f>
        <v>1043.6157086</v>
      </c>
    </row>
    <row r="11" spans="1:21" ht="15" outlineLevel="2">
      <c r="A11" s="6" t="s">
        <v>82</v>
      </c>
      <c r="B11" s="11" t="s">
        <v>78</v>
      </c>
      <c r="C11" s="11" t="s">
        <v>83</v>
      </c>
      <c r="D11" s="13" t="s">
        <v>84</v>
      </c>
      <c r="E11" s="42" t="s">
        <v>85</v>
      </c>
      <c r="F11" s="39" t="s">
        <v>53</v>
      </c>
      <c r="G11" s="24" t="s">
        <v>63</v>
      </c>
      <c r="H11" s="136">
        <v>173.511842</v>
      </c>
      <c r="I11" s="149">
        <v>46</v>
      </c>
      <c r="J11" s="136">
        <f>I11*$J$2</f>
        <v>2.76</v>
      </c>
      <c r="K11" s="136">
        <v>15</v>
      </c>
      <c r="L11" s="139"/>
      <c r="M11" s="139"/>
      <c r="N11" s="136"/>
      <c r="O11" s="11"/>
      <c r="P11" s="136"/>
      <c r="Q11" s="140"/>
      <c r="R11" s="136"/>
      <c r="S11" s="136"/>
      <c r="T11" s="136"/>
      <c r="U11" s="136">
        <f t="shared" si="1"/>
        <v>191.271842</v>
      </c>
    </row>
    <row r="12" spans="1:21" ht="15" outlineLevel="2">
      <c r="A12" s="6" t="s">
        <v>82</v>
      </c>
      <c r="B12" s="11" t="s">
        <v>78</v>
      </c>
      <c r="C12" s="11" t="s">
        <v>83</v>
      </c>
      <c r="D12" s="13" t="s">
        <v>84</v>
      </c>
      <c r="E12" s="42" t="s">
        <v>85</v>
      </c>
      <c r="F12" s="39" t="s">
        <v>53</v>
      </c>
      <c r="G12" s="24" t="s">
        <v>64</v>
      </c>
      <c r="H12" s="136">
        <v>151.1640788</v>
      </c>
      <c r="I12" s="149">
        <v>106</v>
      </c>
      <c r="J12" s="136">
        <f>I12*$J$2</f>
        <v>6.359999999999999</v>
      </c>
      <c r="K12" s="136">
        <v>60</v>
      </c>
      <c r="L12" s="139"/>
      <c r="M12" s="139"/>
      <c r="N12" s="136"/>
      <c r="O12" s="11"/>
      <c r="P12" s="136"/>
      <c r="Q12" s="140"/>
      <c r="R12" s="136"/>
      <c r="S12" s="136"/>
      <c r="T12" s="136"/>
      <c r="U12" s="136">
        <f t="shared" si="1"/>
        <v>217.52407879999998</v>
      </c>
    </row>
    <row r="13" spans="1:21" ht="15" outlineLevel="2">
      <c r="A13" s="6" t="s">
        <v>82</v>
      </c>
      <c r="B13" s="11" t="s">
        <v>78</v>
      </c>
      <c r="C13" s="11" t="s">
        <v>83</v>
      </c>
      <c r="D13" s="13" t="s">
        <v>84</v>
      </c>
      <c r="E13" s="42" t="s">
        <v>85</v>
      </c>
      <c r="F13" s="39" t="s">
        <v>53</v>
      </c>
      <c r="G13" s="24" t="s">
        <v>65</v>
      </c>
      <c r="H13" s="136">
        <v>79.3874088</v>
      </c>
      <c r="I13" s="149">
        <v>183</v>
      </c>
      <c r="J13" s="136">
        <f>I13*$J$2</f>
        <v>10.98</v>
      </c>
      <c r="K13" s="136">
        <v>30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 t="shared" si="1"/>
        <v>120.3674088</v>
      </c>
    </row>
    <row r="14" spans="1:21" ht="15" outlineLevel="2">
      <c r="A14" s="6" t="s">
        <v>82</v>
      </c>
      <c r="B14" s="11" t="s">
        <v>78</v>
      </c>
      <c r="C14" s="11" t="s">
        <v>83</v>
      </c>
      <c r="D14" s="13" t="s">
        <v>84</v>
      </c>
      <c r="E14" s="42" t="s">
        <v>85</v>
      </c>
      <c r="F14" s="39" t="s">
        <v>53</v>
      </c>
      <c r="G14" s="24" t="s">
        <v>66</v>
      </c>
      <c r="H14" s="136">
        <v>91.4096078</v>
      </c>
      <c r="I14" s="149">
        <v>84</v>
      </c>
      <c r="J14" s="136">
        <f>I14*$J$2</f>
        <v>5.04</v>
      </c>
      <c r="K14" s="136">
        <v>45</v>
      </c>
      <c r="L14" s="139"/>
      <c r="M14" s="139"/>
      <c r="N14" s="136"/>
      <c r="O14" s="11"/>
      <c r="P14" s="136"/>
      <c r="Q14" s="140"/>
      <c r="R14" s="136"/>
      <c r="S14" s="136"/>
      <c r="T14" s="136"/>
      <c r="U14" s="136">
        <f t="shared" si="1"/>
        <v>141.44960780000002</v>
      </c>
    </row>
    <row r="15" spans="1:21" ht="15" outlineLevel="2">
      <c r="A15" s="28" t="s">
        <v>82</v>
      </c>
      <c r="B15" s="11" t="str">
        <f aca="true" t="shared" si="2" ref="B15:E16">B14</f>
        <v>DCHS</v>
      </c>
      <c r="C15" s="11" t="str">
        <f t="shared" si="2"/>
        <v>DCCP</v>
      </c>
      <c r="D15" s="13" t="str">
        <f t="shared" si="2"/>
        <v>SCPCES.CGF</v>
      </c>
      <c r="E15" s="38" t="str">
        <f t="shared" si="2"/>
        <v>22-10</v>
      </c>
      <c r="F15" s="20" t="s">
        <v>615</v>
      </c>
      <c r="G15" s="11" t="s">
        <v>615</v>
      </c>
      <c r="H15" s="136"/>
      <c r="I15" s="140"/>
      <c r="J15" s="136"/>
      <c r="K15" s="136"/>
      <c r="L15" s="139"/>
      <c r="M15" s="139"/>
      <c r="N15" s="136"/>
      <c r="O15" s="29">
        <v>0.75</v>
      </c>
      <c r="P15" s="136">
        <f>O15*$P$2</f>
        <v>54</v>
      </c>
      <c r="Q15" s="140"/>
      <c r="R15" s="136"/>
      <c r="S15" s="136"/>
      <c r="T15" s="136"/>
      <c r="U15" s="136">
        <f t="shared" si="1"/>
        <v>54</v>
      </c>
    </row>
    <row r="16" spans="1:21" ht="15" outlineLevel="2">
      <c r="A16" s="36" t="s">
        <v>82</v>
      </c>
      <c r="B16" s="11" t="str">
        <f t="shared" si="2"/>
        <v>DCHS</v>
      </c>
      <c r="C16" s="11" t="str">
        <f t="shared" si="2"/>
        <v>DCCP</v>
      </c>
      <c r="D16" s="13" t="str">
        <f t="shared" si="2"/>
        <v>SCPCES.CGF</v>
      </c>
      <c r="E16" s="27" t="str">
        <f t="shared" si="2"/>
        <v>22-10</v>
      </c>
      <c r="F16" s="20" t="s">
        <v>683</v>
      </c>
      <c r="G16" s="11" t="s">
        <v>683</v>
      </c>
      <c r="H16" s="136"/>
      <c r="I16" s="140"/>
      <c r="J16" s="136"/>
      <c r="K16" s="136"/>
      <c r="L16" s="139"/>
      <c r="M16" s="139"/>
      <c r="N16" s="136"/>
      <c r="O16" s="34"/>
      <c r="P16" s="136"/>
      <c r="Q16" s="140"/>
      <c r="R16" s="136"/>
      <c r="S16" s="136"/>
      <c r="T16" s="150">
        <v>23.21</v>
      </c>
      <c r="U16" s="136">
        <f t="shared" si="1"/>
        <v>23.21</v>
      </c>
    </row>
    <row r="17" spans="1:21" ht="15" outlineLevel="2">
      <c r="A17" s="36" t="s">
        <v>82</v>
      </c>
      <c r="B17" s="11" t="str">
        <f>B15</f>
        <v>DCHS</v>
      </c>
      <c r="C17" s="11" t="str">
        <f>C15</f>
        <v>DCCP</v>
      </c>
      <c r="D17" s="13" t="str">
        <f>D15</f>
        <v>SCPCES.CGF</v>
      </c>
      <c r="E17" s="27" t="str">
        <f>E15</f>
        <v>22-10</v>
      </c>
      <c r="F17" s="20" t="s">
        <v>53</v>
      </c>
      <c r="G17" s="11" t="s">
        <v>684</v>
      </c>
      <c r="H17" s="136"/>
      <c r="I17" s="140"/>
      <c r="J17" s="136"/>
      <c r="K17" s="136"/>
      <c r="L17" s="139"/>
      <c r="M17" s="139"/>
      <c r="N17" s="136"/>
      <c r="O17" s="34"/>
      <c r="P17" s="136"/>
      <c r="Q17" s="140"/>
      <c r="R17" s="136">
        <v>244</v>
      </c>
      <c r="S17" s="136"/>
      <c r="T17" s="150"/>
      <c r="U17" s="136">
        <f t="shared" si="1"/>
        <v>244</v>
      </c>
    </row>
    <row r="18" spans="1:21" s="5" customFormat="1" ht="15.75">
      <c r="A18" s="50" t="s">
        <v>769</v>
      </c>
      <c r="B18" s="49"/>
      <c r="C18" s="2"/>
      <c r="D18" s="61"/>
      <c r="E18" s="44"/>
      <c r="F18" s="51"/>
      <c r="G18" s="45"/>
      <c r="H18" s="137">
        <f aca="true" t="shared" si="3" ref="H18:U18">SUBTOTAL(9,H10:H17)</f>
        <v>1274.688646</v>
      </c>
      <c r="I18" s="167">
        <f t="shared" si="3"/>
        <v>2763</v>
      </c>
      <c r="J18" s="137">
        <f t="shared" si="3"/>
        <v>259.53999999999996</v>
      </c>
      <c r="K18" s="137">
        <f t="shared" si="3"/>
        <v>180</v>
      </c>
      <c r="L18" s="141">
        <f t="shared" si="3"/>
        <v>0</v>
      </c>
      <c r="M18" s="141">
        <f t="shared" si="3"/>
        <v>0</v>
      </c>
      <c r="N18" s="137">
        <f t="shared" si="3"/>
        <v>0</v>
      </c>
      <c r="O18" s="169">
        <f t="shared" si="3"/>
        <v>0.75</v>
      </c>
      <c r="P18" s="137">
        <f t="shared" si="3"/>
        <v>54</v>
      </c>
      <c r="Q18" s="167">
        <f t="shared" si="3"/>
        <v>0</v>
      </c>
      <c r="R18" s="137">
        <f t="shared" si="3"/>
        <v>244</v>
      </c>
      <c r="S18" s="137">
        <f t="shared" si="3"/>
        <v>0</v>
      </c>
      <c r="T18" s="137">
        <f t="shared" si="3"/>
        <v>23.21</v>
      </c>
      <c r="U18" s="137">
        <f t="shared" si="3"/>
        <v>2035.438646</v>
      </c>
    </row>
    <row r="19" spans="1:21" ht="15" outlineLevel="2">
      <c r="A19" s="6" t="s">
        <v>86</v>
      </c>
      <c r="B19" s="11" t="s">
        <v>78</v>
      </c>
      <c r="C19" s="11" t="s">
        <v>87</v>
      </c>
      <c r="D19" s="13" t="s">
        <v>88</v>
      </c>
      <c r="E19" s="42" t="s">
        <v>89</v>
      </c>
      <c r="F19" s="39" t="s">
        <v>53</v>
      </c>
      <c r="G19" s="24" t="s">
        <v>62</v>
      </c>
      <c r="H19" s="136">
        <v>83.6908632</v>
      </c>
      <c r="I19" s="149">
        <v>248</v>
      </c>
      <c r="J19" s="136">
        <f>I19*$J$1</f>
        <v>24.8</v>
      </c>
      <c r="K19" s="136">
        <v>0</v>
      </c>
      <c r="L19" s="139"/>
      <c r="M19" s="139"/>
      <c r="N19" s="136"/>
      <c r="O19" s="11"/>
      <c r="P19" s="136"/>
      <c r="Q19" s="140"/>
      <c r="R19" s="136"/>
      <c r="S19" s="136"/>
      <c r="T19" s="136"/>
      <c r="U19" s="136">
        <f aca="true" t="shared" si="4" ref="U19:U25">H19+J19+K19+N19+P19+R19+S19+T19</f>
        <v>108.49086319999999</v>
      </c>
    </row>
    <row r="20" spans="1:21" ht="15" outlineLevel="2">
      <c r="A20" s="6" t="s">
        <v>86</v>
      </c>
      <c r="B20" s="11" t="s">
        <v>78</v>
      </c>
      <c r="C20" s="11" t="s">
        <v>87</v>
      </c>
      <c r="D20" s="13" t="s">
        <v>88</v>
      </c>
      <c r="E20" s="42" t="s">
        <v>89</v>
      </c>
      <c r="F20" s="39" t="s">
        <v>53</v>
      </c>
      <c r="G20" s="24" t="s">
        <v>63</v>
      </c>
      <c r="H20" s="136">
        <v>159.68080799999998</v>
      </c>
      <c r="I20" s="149">
        <v>33</v>
      </c>
      <c r="J20" s="136">
        <f>I20*$J$2</f>
        <v>1.98</v>
      </c>
      <c r="K20" s="136">
        <v>0</v>
      </c>
      <c r="L20" s="139"/>
      <c r="M20" s="139"/>
      <c r="N20" s="136"/>
      <c r="O20" s="11"/>
      <c r="P20" s="136"/>
      <c r="Q20" s="140"/>
      <c r="R20" s="136"/>
      <c r="S20" s="136"/>
      <c r="T20" s="136"/>
      <c r="U20" s="136">
        <f t="shared" si="4"/>
        <v>161.66080799999997</v>
      </c>
    </row>
    <row r="21" spans="1:21" ht="15" outlineLevel="2">
      <c r="A21" s="6" t="s">
        <v>86</v>
      </c>
      <c r="B21" s="11" t="s">
        <v>78</v>
      </c>
      <c r="C21" s="11" t="s">
        <v>87</v>
      </c>
      <c r="D21" s="13" t="s">
        <v>88</v>
      </c>
      <c r="E21" s="42" t="s">
        <v>89</v>
      </c>
      <c r="F21" s="39" t="s">
        <v>53</v>
      </c>
      <c r="G21" s="24" t="s">
        <v>64</v>
      </c>
      <c r="H21" s="136">
        <v>101.65128399999999</v>
      </c>
      <c r="I21" s="149">
        <v>87</v>
      </c>
      <c r="J21" s="136">
        <f>I21*$J$2</f>
        <v>5.22</v>
      </c>
      <c r="K21" s="136">
        <v>15</v>
      </c>
      <c r="L21" s="139"/>
      <c r="M21" s="139"/>
      <c r="N21" s="136"/>
      <c r="O21" s="11"/>
      <c r="P21" s="136"/>
      <c r="Q21" s="140"/>
      <c r="R21" s="136"/>
      <c r="S21" s="136"/>
      <c r="T21" s="136"/>
      <c r="U21" s="136">
        <f t="shared" si="4"/>
        <v>121.87128399999999</v>
      </c>
    </row>
    <row r="22" spans="1:21" ht="15" outlineLevel="2">
      <c r="A22" s="6" t="s">
        <v>86</v>
      </c>
      <c r="B22" s="11" t="s">
        <v>78</v>
      </c>
      <c r="C22" s="11" t="s">
        <v>87</v>
      </c>
      <c r="D22" s="13" t="s">
        <v>88</v>
      </c>
      <c r="E22" s="42" t="s">
        <v>89</v>
      </c>
      <c r="F22" s="39" t="s">
        <v>53</v>
      </c>
      <c r="G22" s="24" t="s">
        <v>65</v>
      </c>
      <c r="H22" s="136">
        <v>253.92897599999998</v>
      </c>
      <c r="I22" s="149">
        <v>567</v>
      </c>
      <c r="J22" s="136">
        <f>I22*$J$2</f>
        <v>34.019999999999996</v>
      </c>
      <c r="K22" s="136">
        <v>45</v>
      </c>
      <c r="L22" s="139"/>
      <c r="M22" s="139"/>
      <c r="N22" s="136"/>
      <c r="O22" s="11"/>
      <c r="P22" s="136"/>
      <c r="Q22" s="140"/>
      <c r="R22" s="136"/>
      <c r="S22" s="136"/>
      <c r="T22" s="136"/>
      <c r="U22" s="136">
        <f t="shared" si="4"/>
        <v>332.94897599999996</v>
      </c>
    </row>
    <row r="23" spans="1:21" ht="15" outlineLevel="2">
      <c r="A23" s="6" t="s">
        <v>86</v>
      </c>
      <c r="B23" s="11" t="s">
        <v>78</v>
      </c>
      <c r="C23" s="11" t="s">
        <v>87</v>
      </c>
      <c r="D23" s="13" t="s">
        <v>88</v>
      </c>
      <c r="E23" s="42" t="s">
        <v>89</v>
      </c>
      <c r="F23" s="39" t="s">
        <v>53</v>
      </c>
      <c r="G23" s="24" t="s">
        <v>66</v>
      </c>
      <c r="H23" s="136">
        <v>20.3292082</v>
      </c>
      <c r="I23" s="149">
        <v>16</v>
      </c>
      <c r="J23" s="136">
        <f>I23*$J$2</f>
        <v>0.96</v>
      </c>
      <c r="K23" s="136">
        <v>15</v>
      </c>
      <c r="L23" s="139"/>
      <c r="M23" s="139"/>
      <c r="N23" s="136"/>
      <c r="O23" s="11"/>
      <c r="P23" s="136"/>
      <c r="Q23" s="140"/>
      <c r="R23" s="136"/>
      <c r="S23" s="136"/>
      <c r="T23" s="136"/>
      <c r="U23" s="136">
        <f t="shared" si="4"/>
        <v>36.289208200000004</v>
      </c>
    </row>
    <row r="24" spans="1:21" ht="15" outlineLevel="2">
      <c r="A24" s="6" t="s">
        <v>86</v>
      </c>
      <c r="B24" s="11" t="s">
        <v>78</v>
      </c>
      <c r="C24" s="11" t="s">
        <v>87</v>
      </c>
      <c r="D24" s="13" t="s">
        <v>88</v>
      </c>
      <c r="E24" s="42" t="s">
        <v>89</v>
      </c>
      <c r="F24" s="39" t="s">
        <v>53</v>
      </c>
      <c r="G24" s="24" t="s">
        <v>90</v>
      </c>
      <c r="H24" s="136">
        <v>0.272636</v>
      </c>
      <c r="I24" s="149">
        <v>1</v>
      </c>
      <c r="J24" s="136">
        <f>I24*$J$2</f>
        <v>0.06</v>
      </c>
      <c r="K24" s="136">
        <v>0</v>
      </c>
      <c r="L24" s="139"/>
      <c r="M24" s="139"/>
      <c r="N24" s="136"/>
      <c r="O24" s="11"/>
      <c r="P24" s="136"/>
      <c r="Q24" s="140"/>
      <c r="R24" s="136"/>
      <c r="S24" s="136"/>
      <c r="T24" s="136"/>
      <c r="U24" s="136">
        <f t="shared" si="4"/>
        <v>0.332636</v>
      </c>
    </row>
    <row r="25" spans="1:21" ht="15" outlineLevel="2">
      <c r="A25" s="6" t="s">
        <v>86</v>
      </c>
      <c r="B25" s="17" t="s">
        <v>78</v>
      </c>
      <c r="C25" s="17" t="s">
        <v>87</v>
      </c>
      <c r="D25" s="20" t="s">
        <v>88</v>
      </c>
      <c r="E25" s="18" t="s">
        <v>89</v>
      </c>
      <c r="F25" s="39" t="s">
        <v>585</v>
      </c>
      <c r="G25" s="18" t="s">
        <v>592</v>
      </c>
      <c r="H25" s="136"/>
      <c r="I25" s="149"/>
      <c r="J25" s="136"/>
      <c r="K25" s="136"/>
      <c r="L25" s="139">
        <v>0.6</v>
      </c>
      <c r="M25" s="139">
        <v>1</v>
      </c>
      <c r="N25" s="136">
        <f>L25*M25*$N$2</f>
        <v>1881</v>
      </c>
      <c r="O25" s="11"/>
      <c r="P25" s="136"/>
      <c r="Q25" s="140"/>
      <c r="R25" s="136"/>
      <c r="S25" s="136"/>
      <c r="T25" s="136"/>
      <c r="U25" s="136">
        <f t="shared" si="4"/>
        <v>1881</v>
      </c>
    </row>
    <row r="26" spans="1:21" s="5" customFormat="1" ht="15.75">
      <c r="A26" s="50" t="s">
        <v>770</v>
      </c>
      <c r="B26" s="49"/>
      <c r="C26" s="2"/>
      <c r="D26" s="61"/>
      <c r="E26" s="44"/>
      <c r="F26" s="51"/>
      <c r="G26" s="45"/>
      <c r="H26" s="137">
        <f aca="true" t="shared" si="5" ref="H26:U26">SUBTOTAL(9,H19:H25)</f>
        <v>619.5537754000001</v>
      </c>
      <c r="I26" s="167">
        <f t="shared" si="5"/>
        <v>952</v>
      </c>
      <c r="J26" s="137">
        <f t="shared" si="5"/>
        <v>67.03999999999999</v>
      </c>
      <c r="K26" s="137">
        <f t="shared" si="5"/>
        <v>75</v>
      </c>
      <c r="L26" s="141">
        <f t="shared" si="5"/>
        <v>0.6</v>
      </c>
      <c r="M26" s="141">
        <f t="shared" si="5"/>
        <v>1</v>
      </c>
      <c r="N26" s="137">
        <f t="shared" si="5"/>
        <v>1881</v>
      </c>
      <c r="O26" s="169">
        <f t="shared" si="5"/>
        <v>0</v>
      </c>
      <c r="P26" s="137">
        <f t="shared" si="5"/>
        <v>0</v>
      </c>
      <c r="Q26" s="167">
        <f t="shared" si="5"/>
        <v>0</v>
      </c>
      <c r="R26" s="137">
        <f t="shared" si="5"/>
        <v>0</v>
      </c>
      <c r="S26" s="137">
        <f t="shared" si="5"/>
        <v>0</v>
      </c>
      <c r="T26" s="137">
        <f t="shared" si="5"/>
        <v>0</v>
      </c>
      <c r="U26" s="137">
        <f t="shared" si="5"/>
        <v>2642.5937753999997</v>
      </c>
    </row>
    <row r="27" spans="1:21" ht="15" outlineLevel="2">
      <c r="A27" s="6" t="s">
        <v>151</v>
      </c>
      <c r="B27" s="7" t="s">
        <v>78</v>
      </c>
      <c r="C27" s="7" t="s">
        <v>152</v>
      </c>
      <c r="D27" s="7" t="s">
        <v>153</v>
      </c>
      <c r="E27" s="42" t="s">
        <v>81</v>
      </c>
      <c r="F27" s="39" t="s">
        <v>53</v>
      </c>
      <c r="G27" s="24" t="s">
        <v>62</v>
      </c>
      <c r="H27" s="136">
        <v>62.936972000000004</v>
      </c>
      <c r="I27" s="149">
        <v>189</v>
      </c>
      <c r="J27" s="136">
        <f>I27*$J$1</f>
        <v>18.900000000000002</v>
      </c>
      <c r="K27" s="136">
        <v>30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 aca="true" t="shared" si="6" ref="U27:U34">H27+J27+K27+N27+P27+R27+S27+T27</f>
        <v>111.836972</v>
      </c>
    </row>
    <row r="28" spans="1:21" ht="15" outlineLevel="2">
      <c r="A28" s="6" t="s">
        <v>151</v>
      </c>
      <c r="B28" s="7" t="s">
        <v>78</v>
      </c>
      <c r="C28" s="7" t="s">
        <v>152</v>
      </c>
      <c r="D28" s="7" t="s">
        <v>153</v>
      </c>
      <c r="E28" s="42" t="s">
        <v>81</v>
      </c>
      <c r="F28" s="39" t="s">
        <v>53</v>
      </c>
      <c r="G28" s="24" t="s">
        <v>63</v>
      </c>
      <c r="H28" s="136">
        <v>405.39714879999997</v>
      </c>
      <c r="I28" s="149">
        <v>96</v>
      </c>
      <c r="J28" s="136">
        <f>I28*$J$2</f>
        <v>5.76</v>
      </c>
      <c r="K28" s="136">
        <v>0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 t="shared" si="6"/>
        <v>411.15714879999996</v>
      </c>
    </row>
    <row r="29" spans="1:21" ht="15" outlineLevel="2">
      <c r="A29" s="6" t="s">
        <v>151</v>
      </c>
      <c r="B29" s="7" t="s">
        <v>78</v>
      </c>
      <c r="C29" s="7" t="s">
        <v>152</v>
      </c>
      <c r="D29" s="7" t="s">
        <v>153</v>
      </c>
      <c r="E29" s="42" t="s">
        <v>81</v>
      </c>
      <c r="F29" s="39" t="s">
        <v>53</v>
      </c>
      <c r="G29" s="24" t="s">
        <v>64</v>
      </c>
      <c r="H29" s="136">
        <v>468.393891</v>
      </c>
      <c r="I29" s="149">
        <v>192</v>
      </c>
      <c r="J29" s="136">
        <f>I29*$J$2</f>
        <v>11.52</v>
      </c>
      <c r="K29" s="136">
        <v>45</v>
      </c>
      <c r="L29" s="139"/>
      <c r="M29" s="139"/>
      <c r="N29" s="136"/>
      <c r="O29" s="11"/>
      <c r="P29" s="136"/>
      <c r="Q29" s="140"/>
      <c r="R29" s="136"/>
      <c r="S29" s="136"/>
      <c r="T29" s="136"/>
      <c r="U29" s="136">
        <f t="shared" si="6"/>
        <v>524.9138909999999</v>
      </c>
    </row>
    <row r="30" spans="1:21" ht="15" outlineLevel="2">
      <c r="A30" s="6" t="s">
        <v>151</v>
      </c>
      <c r="B30" s="7" t="s">
        <v>78</v>
      </c>
      <c r="C30" s="7" t="s">
        <v>152</v>
      </c>
      <c r="D30" s="7" t="s">
        <v>153</v>
      </c>
      <c r="E30" s="42" t="s">
        <v>81</v>
      </c>
      <c r="F30" s="39" t="s">
        <v>53</v>
      </c>
      <c r="G30" s="24" t="s">
        <v>65</v>
      </c>
      <c r="H30" s="136">
        <v>70.874874</v>
      </c>
      <c r="I30" s="149">
        <v>161</v>
      </c>
      <c r="J30" s="136">
        <f>I30*$J$2</f>
        <v>9.66</v>
      </c>
      <c r="K30" s="136">
        <v>75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 t="shared" si="6"/>
        <v>155.534874</v>
      </c>
    </row>
    <row r="31" spans="1:21" ht="15" outlineLevel="2">
      <c r="A31" s="6" t="s">
        <v>151</v>
      </c>
      <c r="B31" s="7" t="s">
        <v>78</v>
      </c>
      <c r="C31" s="7" t="s">
        <v>152</v>
      </c>
      <c r="D31" s="7" t="s">
        <v>153</v>
      </c>
      <c r="E31" s="42" t="s">
        <v>81</v>
      </c>
      <c r="F31" s="39" t="s">
        <v>53</v>
      </c>
      <c r="G31" s="24" t="s">
        <v>66</v>
      </c>
      <c r="H31" s="136">
        <v>154.3318994</v>
      </c>
      <c r="I31" s="149">
        <v>91</v>
      </c>
      <c r="J31" s="136">
        <f>I31*$J$2</f>
        <v>5.46</v>
      </c>
      <c r="K31" s="136">
        <v>30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 t="shared" si="6"/>
        <v>189.7918994</v>
      </c>
    </row>
    <row r="32" spans="1:21" ht="15" outlineLevel="2">
      <c r="A32" s="6" t="s">
        <v>151</v>
      </c>
      <c r="B32" s="7" t="s">
        <v>78</v>
      </c>
      <c r="C32" s="7" t="s">
        <v>152</v>
      </c>
      <c r="D32" s="7" t="s">
        <v>153</v>
      </c>
      <c r="E32" s="42" t="s">
        <v>81</v>
      </c>
      <c r="F32" s="39" t="s">
        <v>585</v>
      </c>
      <c r="G32" s="16" t="s">
        <v>585</v>
      </c>
      <c r="H32" s="136"/>
      <c r="I32" s="149"/>
      <c r="J32" s="136"/>
      <c r="K32" s="136"/>
      <c r="L32" s="139">
        <v>0.2</v>
      </c>
      <c r="M32" s="139">
        <v>0.25</v>
      </c>
      <c r="N32" s="136">
        <f>L32*M32*$N$2</f>
        <v>156.75</v>
      </c>
      <c r="O32" s="136"/>
      <c r="P32" s="136"/>
      <c r="Q32" s="140"/>
      <c r="R32" s="136"/>
      <c r="S32" s="136"/>
      <c r="T32" s="136"/>
      <c r="U32" s="136">
        <f t="shared" si="6"/>
        <v>156.75</v>
      </c>
    </row>
    <row r="33" spans="1:21" ht="15" outlineLevel="2">
      <c r="A33" s="28" t="s">
        <v>151</v>
      </c>
      <c r="B33" s="11" t="str">
        <f>B32</f>
        <v>DCHS</v>
      </c>
      <c r="C33" s="11" t="str">
        <f>C32</f>
        <v>DCHS BUSINESS SERVICES</v>
      </c>
      <c r="D33" s="13" t="str">
        <f>D32</f>
        <v>CHSBS.FIN.LA</v>
      </c>
      <c r="E33" s="38" t="str">
        <f>E32</f>
        <v>26-10</v>
      </c>
      <c r="F33" s="20" t="s">
        <v>615</v>
      </c>
      <c r="G33" s="11" t="s">
        <v>615</v>
      </c>
      <c r="H33" s="136"/>
      <c r="I33" s="140"/>
      <c r="J33" s="136"/>
      <c r="K33" s="136"/>
      <c r="L33" s="139"/>
      <c r="M33" s="139"/>
      <c r="N33" s="136"/>
      <c r="O33" s="29">
        <f>8+9.25+3</f>
        <v>20.25</v>
      </c>
      <c r="P33" s="136">
        <f>O33*$P$2</f>
        <v>1458</v>
      </c>
      <c r="Q33" s="140"/>
      <c r="R33" s="136"/>
      <c r="S33" s="136"/>
      <c r="T33" s="136"/>
      <c r="U33" s="136">
        <f t="shared" si="6"/>
        <v>1458</v>
      </c>
    </row>
    <row r="34" spans="1:21" ht="15" outlineLevel="2">
      <c r="A34" s="28" t="s">
        <v>151</v>
      </c>
      <c r="B34" s="11" t="str">
        <f>B32</f>
        <v>DCHS</v>
      </c>
      <c r="C34" s="11" t="str">
        <f>C32</f>
        <v>DCHS BUSINESS SERVICES</v>
      </c>
      <c r="D34" s="13" t="str">
        <f>D32</f>
        <v>CHSBS.FIN.LA</v>
      </c>
      <c r="E34" s="38" t="str">
        <f>E32</f>
        <v>26-10</v>
      </c>
      <c r="F34" s="20" t="s">
        <v>53</v>
      </c>
      <c r="G34" s="11" t="s">
        <v>684</v>
      </c>
      <c r="H34" s="136"/>
      <c r="I34" s="140"/>
      <c r="J34" s="136"/>
      <c r="K34" s="136"/>
      <c r="L34" s="139"/>
      <c r="M34" s="139"/>
      <c r="N34" s="136"/>
      <c r="O34" s="29"/>
      <c r="P34" s="136"/>
      <c r="Q34" s="140"/>
      <c r="R34" s="136">
        <v>117.9</v>
      </c>
      <c r="S34" s="136"/>
      <c r="T34" s="136"/>
      <c r="U34" s="136">
        <f t="shared" si="6"/>
        <v>117.9</v>
      </c>
    </row>
    <row r="35" spans="1:21" s="5" customFormat="1" ht="15.75">
      <c r="A35" s="50" t="s">
        <v>771</v>
      </c>
      <c r="B35" s="49"/>
      <c r="C35" s="2"/>
      <c r="D35" s="61"/>
      <c r="E35" s="44"/>
      <c r="F35" s="51"/>
      <c r="G35" s="45"/>
      <c r="H35" s="137">
        <f aca="true" t="shared" si="7" ref="H35:U35">SUBTOTAL(9,H27:H34)</f>
        <v>1161.9347852</v>
      </c>
      <c r="I35" s="167">
        <f t="shared" si="7"/>
        <v>729</v>
      </c>
      <c r="J35" s="137">
        <f t="shared" si="7"/>
        <v>51.300000000000004</v>
      </c>
      <c r="K35" s="137">
        <f t="shared" si="7"/>
        <v>180</v>
      </c>
      <c r="L35" s="141">
        <f t="shared" si="7"/>
        <v>0.2</v>
      </c>
      <c r="M35" s="141">
        <f t="shared" si="7"/>
        <v>0.25</v>
      </c>
      <c r="N35" s="137">
        <f t="shared" si="7"/>
        <v>156.75</v>
      </c>
      <c r="O35" s="169">
        <f t="shared" si="7"/>
        <v>20.25</v>
      </c>
      <c r="P35" s="137">
        <f t="shared" si="7"/>
        <v>1458</v>
      </c>
      <c r="Q35" s="167">
        <f t="shared" si="7"/>
        <v>0</v>
      </c>
      <c r="R35" s="137">
        <f t="shared" si="7"/>
        <v>117.9</v>
      </c>
      <c r="S35" s="137">
        <f t="shared" si="7"/>
        <v>0</v>
      </c>
      <c r="T35" s="137">
        <f t="shared" si="7"/>
        <v>0</v>
      </c>
      <c r="U35" s="137">
        <f t="shared" si="7"/>
        <v>3125.8847852</v>
      </c>
    </row>
    <row r="36" spans="1:21" ht="15" outlineLevel="2">
      <c r="A36" s="6" t="s">
        <v>154</v>
      </c>
      <c r="B36" s="7" t="s">
        <v>78</v>
      </c>
      <c r="C36" s="7" t="s">
        <v>155</v>
      </c>
      <c r="D36" s="7" t="s">
        <v>156</v>
      </c>
      <c r="E36" s="42" t="s">
        <v>157</v>
      </c>
      <c r="F36" s="39" t="s">
        <v>53</v>
      </c>
      <c r="G36" s="11" t="s">
        <v>62</v>
      </c>
      <c r="H36" s="136">
        <v>0.6543264</v>
      </c>
      <c r="I36" s="140">
        <v>2</v>
      </c>
      <c r="J36" s="136">
        <f>I36*$J$1</f>
        <v>0.2</v>
      </c>
      <c r="K36" s="136">
        <v>15</v>
      </c>
      <c r="L36" s="139"/>
      <c r="M36" s="139"/>
      <c r="N36" s="136"/>
      <c r="O36" s="11"/>
      <c r="P36" s="136"/>
      <c r="Q36" s="140"/>
      <c r="R36" s="136"/>
      <c r="S36" s="136"/>
      <c r="T36" s="136"/>
      <c r="U36" s="136">
        <f>H36+J36+K36+N36+P36+R36+S36+T36</f>
        <v>15.8543264</v>
      </c>
    </row>
    <row r="37" spans="1:21" ht="15" outlineLevel="2">
      <c r="A37" s="6" t="s">
        <v>154</v>
      </c>
      <c r="B37" s="7" t="s">
        <v>78</v>
      </c>
      <c r="C37" s="7" t="s">
        <v>155</v>
      </c>
      <c r="D37" s="7" t="s">
        <v>156</v>
      </c>
      <c r="E37" s="42" t="s">
        <v>157</v>
      </c>
      <c r="F37" s="39" t="s">
        <v>53</v>
      </c>
      <c r="G37" s="11" t="s">
        <v>63</v>
      </c>
      <c r="H37" s="136">
        <v>4.82356</v>
      </c>
      <c r="I37" s="140">
        <v>1</v>
      </c>
      <c r="J37" s="136">
        <f>I37*$J$2</f>
        <v>0.06</v>
      </c>
      <c r="K37" s="136">
        <v>15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>H37+J37+K37+N37+P37+R37+S37+T37</f>
        <v>19.88356</v>
      </c>
    </row>
    <row r="38" spans="1:21" ht="15" outlineLevel="2">
      <c r="A38" s="6" t="s">
        <v>154</v>
      </c>
      <c r="B38" s="7" t="s">
        <v>78</v>
      </c>
      <c r="C38" s="7" t="s">
        <v>155</v>
      </c>
      <c r="D38" s="7" t="s">
        <v>156</v>
      </c>
      <c r="E38" s="42" t="s">
        <v>157</v>
      </c>
      <c r="F38" s="39" t="s">
        <v>585</v>
      </c>
      <c r="G38" s="7" t="s">
        <v>585</v>
      </c>
      <c r="H38" s="136"/>
      <c r="I38" s="140"/>
      <c r="J38" s="136"/>
      <c r="K38" s="136"/>
      <c r="L38" s="139">
        <v>0.1</v>
      </c>
      <c r="M38" s="139">
        <v>0.67</v>
      </c>
      <c r="N38" s="136">
        <f>L38*M38*$N$2</f>
        <v>210.04500000000002</v>
      </c>
      <c r="O38" s="136"/>
      <c r="P38" s="136"/>
      <c r="Q38" s="140"/>
      <c r="R38" s="136"/>
      <c r="S38" s="136"/>
      <c r="T38" s="136"/>
      <c r="U38" s="136">
        <f>H38+J38+K38+N38+P38+R38+S38+T38</f>
        <v>210.04500000000002</v>
      </c>
    </row>
    <row r="39" spans="1:21" s="5" customFormat="1" ht="15.75">
      <c r="A39" s="50" t="s">
        <v>772</v>
      </c>
      <c r="B39" s="49"/>
      <c r="C39" s="2"/>
      <c r="D39" s="61"/>
      <c r="E39" s="44"/>
      <c r="F39" s="51"/>
      <c r="G39" s="45"/>
      <c r="H39" s="137">
        <f aca="true" t="shared" si="8" ref="H39:U39">SUBTOTAL(9,H36:H38)</f>
        <v>5.477886399999999</v>
      </c>
      <c r="I39" s="167">
        <f t="shared" si="8"/>
        <v>3</v>
      </c>
      <c r="J39" s="137">
        <f t="shared" si="8"/>
        <v>0.26</v>
      </c>
      <c r="K39" s="137">
        <f t="shared" si="8"/>
        <v>30</v>
      </c>
      <c r="L39" s="141">
        <f t="shared" si="8"/>
        <v>0.1</v>
      </c>
      <c r="M39" s="141">
        <f t="shared" si="8"/>
        <v>0.67</v>
      </c>
      <c r="N39" s="137">
        <f t="shared" si="8"/>
        <v>210.04500000000002</v>
      </c>
      <c r="O39" s="169">
        <f t="shared" si="8"/>
        <v>0</v>
      </c>
      <c r="P39" s="137">
        <f t="shared" si="8"/>
        <v>0</v>
      </c>
      <c r="Q39" s="167">
        <f t="shared" si="8"/>
        <v>0</v>
      </c>
      <c r="R39" s="137">
        <f t="shared" si="8"/>
        <v>0</v>
      </c>
      <c r="S39" s="137">
        <f t="shared" si="8"/>
        <v>0</v>
      </c>
      <c r="T39" s="137">
        <f t="shared" si="8"/>
        <v>0</v>
      </c>
      <c r="U39" s="137">
        <f t="shared" si="8"/>
        <v>245.78288640000002</v>
      </c>
    </row>
    <row r="40" spans="1:21" ht="15" outlineLevel="2">
      <c r="A40" s="6" t="s">
        <v>158</v>
      </c>
      <c r="B40" s="7" t="s">
        <v>78</v>
      </c>
      <c r="C40" s="7" t="s">
        <v>159</v>
      </c>
      <c r="D40" s="7" t="s">
        <v>160</v>
      </c>
      <c r="E40" s="42" t="s">
        <v>161</v>
      </c>
      <c r="F40" s="39" t="s">
        <v>53</v>
      </c>
      <c r="G40" s="11" t="s">
        <v>64</v>
      </c>
      <c r="H40" s="136">
        <v>1.195404</v>
      </c>
      <c r="I40" s="140">
        <v>1</v>
      </c>
      <c r="J40" s="136">
        <f>I40*$J$2</f>
        <v>0.06</v>
      </c>
      <c r="K40" s="136">
        <v>15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>H40+J40+K40+N40+P40+R40+S40+T40</f>
        <v>16.255404</v>
      </c>
    </row>
    <row r="41" spans="1:21" ht="15" outlineLevel="2">
      <c r="A41" s="28" t="s">
        <v>158</v>
      </c>
      <c r="B41" s="11" t="str">
        <f>B40</f>
        <v>DCHS</v>
      </c>
      <c r="C41" s="11" t="str">
        <f>C40</f>
        <v>DCHS ADMIN</v>
      </c>
      <c r="D41" s="13" t="str">
        <f>D40</f>
        <v>DV SVC.SAFE</v>
      </c>
      <c r="E41" s="38" t="str">
        <f>E40</f>
        <v>20-30</v>
      </c>
      <c r="F41" s="20" t="s">
        <v>615</v>
      </c>
      <c r="G41" s="11" t="s">
        <v>615</v>
      </c>
      <c r="H41" s="136"/>
      <c r="I41" s="140"/>
      <c r="J41" s="136"/>
      <c r="K41" s="136"/>
      <c r="L41" s="139"/>
      <c r="M41" s="139"/>
      <c r="N41" s="136"/>
      <c r="O41" s="29">
        <v>0.25</v>
      </c>
      <c r="P41" s="136">
        <f>O41*$P$2</f>
        <v>18</v>
      </c>
      <c r="Q41" s="140"/>
      <c r="R41" s="136"/>
      <c r="S41" s="136"/>
      <c r="T41" s="136"/>
      <c r="U41" s="136">
        <f>H41+J41+K41+N41+P41+R41+S41+T41</f>
        <v>18</v>
      </c>
    </row>
    <row r="42" spans="1:21" s="5" customFormat="1" ht="15.75">
      <c r="A42" s="50" t="s">
        <v>773</v>
      </c>
      <c r="B42" s="49"/>
      <c r="C42" s="2"/>
      <c r="D42" s="61"/>
      <c r="E42" s="44"/>
      <c r="F42" s="51"/>
      <c r="G42" s="45"/>
      <c r="H42" s="137">
        <f aca="true" t="shared" si="9" ref="H42:U42">SUBTOTAL(9,H40:H41)</f>
        <v>1.195404</v>
      </c>
      <c r="I42" s="167">
        <f t="shared" si="9"/>
        <v>1</v>
      </c>
      <c r="J42" s="137">
        <f t="shared" si="9"/>
        <v>0.06</v>
      </c>
      <c r="K42" s="137">
        <f t="shared" si="9"/>
        <v>15</v>
      </c>
      <c r="L42" s="141">
        <f t="shared" si="9"/>
        <v>0</v>
      </c>
      <c r="M42" s="141">
        <f t="shared" si="9"/>
        <v>0</v>
      </c>
      <c r="N42" s="137">
        <f t="shared" si="9"/>
        <v>0</v>
      </c>
      <c r="O42" s="169">
        <f t="shared" si="9"/>
        <v>0.25</v>
      </c>
      <c r="P42" s="137">
        <f t="shared" si="9"/>
        <v>18</v>
      </c>
      <c r="Q42" s="167">
        <f t="shared" si="9"/>
        <v>0</v>
      </c>
      <c r="R42" s="137">
        <f t="shared" si="9"/>
        <v>0</v>
      </c>
      <c r="S42" s="137">
        <f t="shared" si="9"/>
        <v>0</v>
      </c>
      <c r="T42" s="137">
        <f t="shared" si="9"/>
        <v>0</v>
      </c>
      <c r="U42" s="137">
        <f t="shared" si="9"/>
        <v>34.255404</v>
      </c>
    </row>
    <row r="43" spans="1:21" ht="15" outlineLevel="2">
      <c r="A43" s="6" t="s">
        <v>162</v>
      </c>
      <c r="B43" s="7" t="s">
        <v>78</v>
      </c>
      <c r="C43" s="7" t="s">
        <v>163</v>
      </c>
      <c r="D43" s="7" t="s">
        <v>164</v>
      </c>
      <c r="E43" s="42" t="s">
        <v>89</v>
      </c>
      <c r="F43" s="39" t="s">
        <v>53</v>
      </c>
      <c r="G43" s="24" t="s">
        <v>62</v>
      </c>
      <c r="H43" s="136">
        <v>6323.478488599998</v>
      </c>
      <c r="I43" s="149">
        <v>19140</v>
      </c>
      <c r="J43" s="136">
        <f>I43*$J$1</f>
        <v>1914</v>
      </c>
      <c r="K43" s="136">
        <v>0</v>
      </c>
      <c r="L43" s="139"/>
      <c r="M43" s="139"/>
      <c r="N43" s="136"/>
      <c r="O43" s="11"/>
      <c r="P43" s="136"/>
      <c r="Q43" s="140"/>
      <c r="R43" s="136"/>
      <c r="S43" s="136"/>
      <c r="T43" s="136"/>
      <c r="U43" s="136">
        <f aca="true" t="shared" si="10" ref="U43:U50">H43+J43+K43+N43+P43+R43+S43+T43</f>
        <v>8237.478488599998</v>
      </c>
    </row>
    <row r="44" spans="1:21" ht="15" outlineLevel="2">
      <c r="A44" s="6" t="s">
        <v>162</v>
      </c>
      <c r="B44" s="7" t="s">
        <v>78</v>
      </c>
      <c r="C44" s="7" t="s">
        <v>163</v>
      </c>
      <c r="D44" s="7" t="s">
        <v>164</v>
      </c>
      <c r="E44" s="42" t="s">
        <v>89</v>
      </c>
      <c r="F44" s="39" t="s">
        <v>53</v>
      </c>
      <c r="G44" s="24" t="s">
        <v>63</v>
      </c>
      <c r="H44" s="136">
        <v>2852.128035399999</v>
      </c>
      <c r="I44" s="149">
        <v>894</v>
      </c>
      <c r="J44" s="136">
        <f>I44*$J$2</f>
        <v>53.64</v>
      </c>
      <c r="K44" s="136">
        <v>0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 t="shared" si="10"/>
        <v>2905.768035399999</v>
      </c>
    </row>
    <row r="45" spans="1:21" ht="15" outlineLevel="2">
      <c r="A45" s="6" t="s">
        <v>162</v>
      </c>
      <c r="B45" s="7" t="s">
        <v>78</v>
      </c>
      <c r="C45" s="7" t="s">
        <v>163</v>
      </c>
      <c r="D45" s="7" t="s">
        <v>164</v>
      </c>
      <c r="E45" s="42" t="s">
        <v>89</v>
      </c>
      <c r="F45" s="39" t="s">
        <v>53</v>
      </c>
      <c r="G45" s="24" t="s">
        <v>64</v>
      </c>
      <c r="H45" s="136">
        <v>3324.3776285999998</v>
      </c>
      <c r="I45" s="149">
        <v>2221</v>
      </c>
      <c r="J45" s="136">
        <f>I45*$J$2</f>
        <v>133.26</v>
      </c>
      <c r="K45" s="136">
        <v>15</v>
      </c>
      <c r="L45" s="139"/>
      <c r="M45" s="139"/>
      <c r="N45" s="136"/>
      <c r="O45" s="11"/>
      <c r="P45" s="136"/>
      <c r="Q45" s="140"/>
      <c r="R45" s="136"/>
      <c r="S45" s="136"/>
      <c r="T45" s="136"/>
      <c r="U45" s="136">
        <f t="shared" si="10"/>
        <v>3472.6376285999995</v>
      </c>
    </row>
    <row r="46" spans="1:21" ht="15" outlineLevel="2">
      <c r="A46" s="6" t="s">
        <v>162</v>
      </c>
      <c r="B46" s="7" t="s">
        <v>78</v>
      </c>
      <c r="C46" s="7" t="s">
        <v>163</v>
      </c>
      <c r="D46" s="7" t="s">
        <v>164</v>
      </c>
      <c r="E46" s="42" t="s">
        <v>89</v>
      </c>
      <c r="F46" s="39" t="s">
        <v>53</v>
      </c>
      <c r="G46" s="24" t="s">
        <v>65</v>
      </c>
      <c r="H46" s="136">
        <v>4432.583198399998</v>
      </c>
      <c r="I46" s="149">
        <v>9717</v>
      </c>
      <c r="J46" s="136">
        <f>I46*$J$2</f>
        <v>583.02</v>
      </c>
      <c r="K46" s="136">
        <v>90</v>
      </c>
      <c r="L46" s="139"/>
      <c r="M46" s="139"/>
      <c r="N46" s="136"/>
      <c r="O46" s="11"/>
      <c r="P46" s="136"/>
      <c r="Q46" s="140"/>
      <c r="R46" s="136"/>
      <c r="S46" s="136"/>
      <c r="T46" s="136"/>
      <c r="U46" s="136">
        <f t="shared" si="10"/>
        <v>5105.603198399998</v>
      </c>
    </row>
    <row r="47" spans="1:21" ht="15" outlineLevel="2">
      <c r="A47" s="6" t="s">
        <v>162</v>
      </c>
      <c r="B47" s="7" t="s">
        <v>78</v>
      </c>
      <c r="C47" s="7" t="s">
        <v>163</v>
      </c>
      <c r="D47" s="7" t="s">
        <v>164</v>
      </c>
      <c r="E47" s="42" t="s">
        <v>89</v>
      </c>
      <c r="F47" s="39" t="s">
        <v>53</v>
      </c>
      <c r="G47" s="24" t="s">
        <v>66</v>
      </c>
      <c r="H47" s="136">
        <v>1057.7679098</v>
      </c>
      <c r="I47" s="149">
        <v>1064</v>
      </c>
      <c r="J47" s="136">
        <f>I47*$J$2</f>
        <v>63.839999999999996</v>
      </c>
      <c r="K47" s="136">
        <v>75</v>
      </c>
      <c r="L47" s="139"/>
      <c r="M47" s="139"/>
      <c r="N47" s="136"/>
      <c r="O47" s="11"/>
      <c r="P47" s="136"/>
      <c r="Q47" s="140"/>
      <c r="R47" s="136"/>
      <c r="S47" s="136"/>
      <c r="T47" s="136"/>
      <c r="U47" s="136">
        <f t="shared" si="10"/>
        <v>1196.6079098</v>
      </c>
    </row>
    <row r="48" spans="1:21" ht="15" outlineLevel="2">
      <c r="A48" s="6" t="s">
        <v>162</v>
      </c>
      <c r="B48" s="7" t="s">
        <v>78</v>
      </c>
      <c r="C48" s="7" t="s">
        <v>163</v>
      </c>
      <c r="D48" s="7" t="s">
        <v>164</v>
      </c>
      <c r="E48" s="43" t="s">
        <v>89</v>
      </c>
      <c r="F48" s="39" t="s">
        <v>585</v>
      </c>
      <c r="G48" s="16" t="s">
        <v>585</v>
      </c>
      <c r="H48" s="136"/>
      <c r="I48" s="149"/>
      <c r="J48" s="136"/>
      <c r="K48" s="136"/>
      <c r="L48" s="139">
        <v>0.2</v>
      </c>
      <c r="M48" s="139">
        <v>0.75</v>
      </c>
      <c r="N48" s="136">
        <f>L48*M48*$N$2</f>
        <v>470.25000000000006</v>
      </c>
      <c r="O48" s="11"/>
      <c r="P48" s="136"/>
      <c r="Q48" s="140"/>
      <c r="R48" s="136"/>
      <c r="S48" s="136"/>
      <c r="T48" s="136"/>
      <c r="U48" s="136">
        <f t="shared" si="10"/>
        <v>470.25000000000006</v>
      </c>
    </row>
    <row r="49" spans="1:21" ht="15" outlineLevel="2">
      <c r="A49" s="28" t="s">
        <v>162</v>
      </c>
      <c r="B49" s="11" t="str">
        <f aca="true" t="shared" si="11" ref="B49:E50">B48</f>
        <v>DCHS</v>
      </c>
      <c r="C49" s="11" t="str">
        <f t="shared" si="11"/>
        <v>DD</v>
      </c>
      <c r="D49" s="13" t="str">
        <f t="shared" si="11"/>
        <v>DD ACOMP 48</v>
      </c>
      <c r="E49" s="38" t="str">
        <f t="shared" si="11"/>
        <v>20-50</v>
      </c>
      <c r="F49" s="20" t="s">
        <v>615</v>
      </c>
      <c r="G49" s="11" t="s">
        <v>615</v>
      </c>
      <c r="H49" s="136"/>
      <c r="I49" s="140"/>
      <c r="J49" s="136"/>
      <c r="K49" s="136"/>
      <c r="L49" s="139"/>
      <c r="M49" s="139"/>
      <c r="N49" s="136"/>
      <c r="O49" s="29">
        <f>2+4</f>
        <v>6</v>
      </c>
      <c r="P49" s="136">
        <f>O49*$P$2</f>
        <v>432</v>
      </c>
      <c r="Q49" s="140"/>
      <c r="R49" s="136"/>
      <c r="S49" s="136"/>
      <c r="T49" s="136"/>
      <c r="U49" s="136">
        <f t="shared" si="10"/>
        <v>432</v>
      </c>
    </row>
    <row r="50" spans="1:21" ht="15" outlineLevel="2">
      <c r="A50" s="36" t="s">
        <v>641</v>
      </c>
      <c r="B50" s="11" t="str">
        <f t="shared" si="11"/>
        <v>DCHS</v>
      </c>
      <c r="C50" s="11" t="str">
        <f t="shared" si="11"/>
        <v>DD</v>
      </c>
      <c r="D50" s="13" t="str">
        <f t="shared" si="11"/>
        <v>DD ACOMP 48</v>
      </c>
      <c r="E50" s="27" t="str">
        <f t="shared" si="11"/>
        <v>20-50</v>
      </c>
      <c r="F50" s="20" t="s">
        <v>683</v>
      </c>
      <c r="G50" s="11" t="s">
        <v>683</v>
      </c>
      <c r="H50" s="136"/>
      <c r="I50" s="140"/>
      <c r="J50" s="136"/>
      <c r="K50" s="136"/>
      <c r="L50" s="139"/>
      <c r="M50" s="139"/>
      <c r="N50" s="136"/>
      <c r="O50" s="34"/>
      <c r="P50" s="136"/>
      <c r="Q50" s="140"/>
      <c r="R50" s="136"/>
      <c r="S50" s="136"/>
      <c r="T50" s="150">
        <v>6.86</v>
      </c>
      <c r="U50" s="136">
        <f t="shared" si="10"/>
        <v>6.86</v>
      </c>
    </row>
    <row r="51" spans="1:21" s="5" customFormat="1" ht="15.75">
      <c r="A51" s="50" t="s">
        <v>774</v>
      </c>
      <c r="B51" s="49"/>
      <c r="C51" s="2"/>
      <c r="D51" s="61"/>
      <c r="E51" s="44"/>
      <c r="F51" s="51"/>
      <c r="G51" s="45"/>
      <c r="H51" s="137">
        <f aca="true" t="shared" si="12" ref="H51:U51">SUBTOTAL(9,H43:H50)</f>
        <v>17990.335260799995</v>
      </c>
      <c r="I51" s="167">
        <f t="shared" si="12"/>
        <v>33036</v>
      </c>
      <c r="J51" s="137">
        <f t="shared" si="12"/>
        <v>2747.76</v>
      </c>
      <c r="K51" s="137">
        <f t="shared" si="12"/>
        <v>180</v>
      </c>
      <c r="L51" s="141">
        <f t="shared" si="12"/>
        <v>0.2</v>
      </c>
      <c r="M51" s="141">
        <f t="shared" si="12"/>
        <v>0.75</v>
      </c>
      <c r="N51" s="137">
        <f t="shared" si="12"/>
        <v>470.25000000000006</v>
      </c>
      <c r="O51" s="169">
        <f t="shared" si="12"/>
        <v>6</v>
      </c>
      <c r="P51" s="137">
        <f t="shared" si="12"/>
        <v>432</v>
      </c>
      <c r="Q51" s="167">
        <f t="shared" si="12"/>
        <v>0</v>
      </c>
      <c r="R51" s="137">
        <f t="shared" si="12"/>
        <v>0</v>
      </c>
      <c r="S51" s="137">
        <f t="shared" si="12"/>
        <v>0</v>
      </c>
      <c r="T51" s="137">
        <f t="shared" si="12"/>
        <v>6.86</v>
      </c>
      <c r="U51" s="137">
        <f t="shared" si="12"/>
        <v>21827.205260799998</v>
      </c>
    </row>
    <row r="52" spans="1:21" ht="15" outlineLevel="2">
      <c r="A52" s="36" t="s">
        <v>685</v>
      </c>
      <c r="B52" s="11" t="str">
        <f>B49</f>
        <v>DCHS</v>
      </c>
      <c r="C52" s="7" t="s">
        <v>155</v>
      </c>
      <c r="D52" s="13" t="s">
        <v>686</v>
      </c>
      <c r="E52" s="27" t="s">
        <v>157</v>
      </c>
      <c r="F52" s="20" t="s">
        <v>53</v>
      </c>
      <c r="G52" s="11" t="s">
        <v>684</v>
      </c>
      <c r="H52" s="136"/>
      <c r="I52" s="140"/>
      <c r="J52" s="136"/>
      <c r="K52" s="136"/>
      <c r="L52" s="139"/>
      <c r="M52" s="139"/>
      <c r="N52" s="136"/>
      <c r="O52" s="34"/>
      <c r="P52" s="136"/>
      <c r="Q52" s="140"/>
      <c r="R52" s="136">
        <v>10.98</v>
      </c>
      <c r="S52" s="136"/>
      <c r="T52" s="150"/>
      <c r="U52" s="136">
        <f>H52+J52+K52+N52+P52+R52+S52+T52</f>
        <v>10.98</v>
      </c>
    </row>
    <row r="53" spans="1:21" s="5" customFormat="1" ht="15.75">
      <c r="A53" s="50" t="s">
        <v>775</v>
      </c>
      <c r="B53" s="49"/>
      <c r="C53" s="2"/>
      <c r="D53" s="61"/>
      <c r="E53" s="44"/>
      <c r="F53" s="51"/>
      <c r="G53" s="45"/>
      <c r="H53" s="137">
        <f aca="true" t="shared" si="13" ref="H53:U53">SUBTOTAL(9,H52:H52)</f>
        <v>0</v>
      </c>
      <c r="I53" s="167">
        <f t="shared" si="13"/>
        <v>0</v>
      </c>
      <c r="J53" s="137">
        <f t="shared" si="13"/>
        <v>0</v>
      </c>
      <c r="K53" s="137">
        <f t="shared" si="13"/>
        <v>0</v>
      </c>
      <c r="L53" s="141">
        <f t="shared" si="13"/>
        <v>0</v>
      </c>
      <c r="M53" s="141">
        <f t="shared" si="13"/>
        <v>0</v>
      </c>
      <c r="N53" s="137">
        <f t="shared" si="13"/>
        <v>0</v>
      </c>
      <c r="O53" s="169">
        <f t="shared" si="13"/>
        <v>0</v>
      </c>
      <c r="P53" s="137">
        <f t="shared" si="13"/>
        <v>0</v>
      </c>
      <c r="Q53" s="167">
        <f t="shared" si="13"/>
        <v>0</v>
      </c>
      <c r="R53" s="137">
        <f t="shared" si="13"/>
        <v>10.98</v>
      </c>
      <c r="S53" s="137">
        <f t="shared" si="13"/>
        <v>0</v>
      </c>
      <c r="T53" s="137">
        <f t="shared" si="13"/>
        <v>0</v>
      </c>
      <c r="U53" s="137">
        <f t="shared" si="13"/>
        <v>10.98</v>
      </c>
    </row>
    <row r="54" spans="1:21" ht="15" outlineLevel="2">
      <c r="A54" s="6" t="s">
        <v>165</v>
      </c>
      <c r="B54" s="7" t="s">
        <v>78</v>
      </c>
      <c r="C54" s="7" t="s">
        <v>155</v>
      </c>
      <c r="D54" s="7" t="s">
        <v>166</v>
      </c>
      <c r="E54" s="42" t="s">
        <v>157</v>
      </c>
      <c r="F54" s="39" t="s">
        <v>53</v>
      </c>
      <c r="G54" s="24" t="s">
        <v>62</v>
      </c>
      <c r="H54" s="136">
        <v>560.5102552000002</v>
      </c>
      <c r="I54" s="149">
        <v>1668</v>
      </c>
      <c r="J54" s="136">
        <f>I54*$J$1</f>
        <v>166.8</v>
      </c>
      <c r="K54" s="136">
        <v>0</v>
      </c>
      <c r="L54" s="139"/>
      <c r="M54" s="139"/>
      <c r="N54" s="136"/>
      <c r="O54" s="11"/>
      <c r="P54" s="136"/>
      <c r="Q54" s="140"/>
      <c r="R54" s="136"/>
      <c r="S54" s="136"/>
      <c r="T54" s="136"/>
      <c r="U54" s="136">
        <f aca="true" t="shared" si="14" ref="U54:U61">H54+J54+K54+N54+P54+R54+S54+T54</f>
        <v>727.3102552000003</v>
      </c>
    </row>
    <row r="55" spans="1:21" ht="15" outlineLevel="2">
      <c r="A55" s="6" t="s">
        <v>165</v>
      </c>
      <c r="B55" s="7" t="s">
        <v>78</v>
      </c>
      <c r="C55" s="7" t="s">
        <v>155</v>
      </c>
      <c r="D55" s="7" t="s">
        <v>166</v>
      </c>
      <c r="E55" s="42" t="s">
        <v>157</v>
      </c>
      <c r="F55" s="39" t="s">
        <v>53</v>
      </c>
      <c r="G55" s="24" t="s">
        <v>63</v>
      </c>
      <c r="H55" s="136">
        <v>1014.9609119999999</v>
      </c>
      <c r="I55" s="149">
        <v>286</v>
      </c>
      <c r="J55" s="136">
        <f>I55*$J$2</f>
        <v>17.16</v>
      </c>
      <c r="K55" s="136">
        <v>30</v>
      </c>
      <c r="L55" s="139"/>
      <c r="M55" s="139"/>
      <c r="N55" s="136"/>
      <c r="O55" s="11"/>
      <c r="P55" s="136"/>
      <c r="Q55" s="140"/>
      <c r="R55" s="136"/>
      <c r="S55" s="136"/>
      <c r="T55" s="136"/>
      <c r="U55" s="136">
        <f t="shared" si="14"/>
        <v>1062.1209119999999</v>
      </c>
    </row>
    <row r="56" spans="1:21" ht="15" outlineLevel="2">
      <c r="A56" s="6" t="s">
        <v>165</v>
      </c>
      <c r="B56" s="7" t="s">
        <v>78</v>
      </c>
      <c r="C56" s="7" t="s">
        <v>155</v>
      </c>
      <c r="D56" s="7" t="s">
        <v>166</v>
      </c>
      <c r="E56" s="42" t="s">
        <v>157</v>
      </c>
      <c r="F56" s="39" t="s">
        <v>53</v>
      </c>
      <c r="G56" s="24" t="s">
        <v>64</v>
      </c>
      <c r="H56" s="136">
        <v>847.960876</v>
      </c>
      <c r="I56" s="149">
        <v>529</v>
      </c>
      <c r="J56" s="136">
        <f>I56*$J$2</f>
        <v>31.74</v>
      </c>
      <c r="K56" s="136">
        <v>15</v>
      </c>
      <c r="L56" s="139"/>
      <c r="M56" s="139"/>
      <c r="N56" s="136"/>
      <c r="O56" s="11"/>
      <c r="P56" s="136"/>
      <c r="Q56" s="140"/>
      <c r="R56" s="136"/>
      <c r="S56" s="136"/>
      <c r="T56" s="136"/>
      <c r="U56" s="136">
        <f t="shared" si="14"/>
        <v>894.700876</v>
      </c>
    </row>
    <row r="57" spans="1:21" ht="15" outlineLevel="2">
      <c r="A57" s="6" t="s">
        <v>165</v>
      </c>
      <c r="B57" s="7" t="s">
        <v>78</v>
      </c>
      <c r="C57" s="7" t="s">
        <v>155</v>
      </c>
      <c r="D57" s="7" t="s">
        <v>166</v>
      </c>
      <c r="E57" s="42" t="s">
        <v>157</v>
      </c>
      <c r="F57" s="39" t="s">
        <v>53</v>
      </c>
      <c r="G57" s="24" t="s">
        <v>65</v>
      </c>
      <c r="H57" s="136">
        <v>275.1127931999998</v>
      </c>
      <c r="I57" s="149">
        <v>530</v>
      </c>
      <c r="J57" s="136">
        <f>I57*$J$2</f>
        <v>31.799999999999997</v>
      </c>
      <c r="K57" s="136">
        <v>90</v>
      </c>
      <c r="L57" s="139"/>
      <c r="M57" s="139"/>
      <c r="N57" s="136"/>
      <c r="O57" s="11"/>
      <c r="P57" s="136"/>
      <c r="Q57" s="140"/>
      <c r="R57" s="136"/>
      <c r="S57" s="136"/>
      <c r="T57" s="136"/>
      <c r="U57" s="136">
        <f t="shared" si="14"/>
        <v>396.91279319999984</v>
      </c>
    </row>
    <row r="58" spans="1:21" ht="15" outlineLevel="2">
      <c r="A58" s="6" t="s">
        <v>165</v>
      </c>
      <c r="B58" s="7" t="s">
        <v>78</v>
      </c>
      <c r="C58" s="7" t="s">
        <v>155</v>
      </c>
      <c r="D58" s="7" t="s">
        <v>166</v>
      </c>
      <c r="E58" s="42" t="s">
        <v>157</v>
      </c>
      <c r="F58" s="39" t="s">
        <v>53</v>
      </c>
      <c r="G58" s="24" t="s">
        <v>66</v>
      </c>
      <c r="H58" s="136">
        <v>277.3117074</v>
      </c>
      <c r="I58" s="149">
        <v>255</v>
      </c>
      <c r="J58" s="136">
        <f>I58*$J$2</f>
        <v>15.299999999999999</v>
      </c>
      <c r="K58" s="136">
        <v>45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t="shared" si="14"/>
        <v>337.6117074</v>
      </c>
    </row>
    <row r="59" spans="1:21" ht="15" outlineLevel="2">
      <c r="A59" s="6" t="s">
        <v>165</v>
      </c>
      <c r="B59" s="7" t="s">
        <v>78</v>
      </c>
      <c r="C59" s="7" t="s">
        <v>155</v>
      </c>
      <c r="D59" s="7" t="s">
        <v>166</v>
      </c>
      <c r="E59" s="42" t="s">
        <v>157</v>
      </c>
      <c r="F59" s="39" t="s">
        <v>53</v>
      </c>
      <c r="G59" s="24" t="s">
        <v>167</v>
      </c>
      <c r="H59" s="136">
        <v>0.7235339999999999</v>
      </c>
      <c r="I59" s="149">
        <v>1</v>
      </c>
      <c r="J59" s="136">
        <f>I59*$J$2</f>
        <v>0.06</v>
      </c>
      <c r="K59" s="136">
        <v>0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4"/>
        <v>0.783534</v>
      </c>
    </row>
    <row r="60" spans="1:21" ht="15" outlineLevel="2">
      <c r="A60" s="6" t="s">
        <v>165</v>
      </c>
      <c r="B60" s="7" t="s">
        <v>78</v>
      </c>
      <c r="C60" s="7" t="s">
        <v>155</v>
      </c>
      <c r="D60" s="7" t="s">
        <v>166</v>
      </c>
      <c r="E60" s="43" t="s">
        <v>157</v>
      </c>
      <c r="F60" s="39" t="s">
        <v>585</v>
      </c>
      <c r="G60" s="16" t="s">
        <v>585</v>
      </c>
      <c r="H60" s="136"/>
      <c r="I60" s="149"/>
      <c r="J60" s="136"/>
      <c r="K60" s="136"/>
      <c r="L60" s="139">
        <v>1</v>
      </c>
      <c r="M60" s="139">
        <v>0.4</v>
      </c>
      <c r="N60" s="136">
        <f>L60*M60*$N$2</f>
        <v>1254</v>
      </c>
      <c r="O60" s="11"/>
      <c r="P60" s="136"/>
      <c r="Q60" s="140"/>
      <c r="R60" s="136"/>
      <c r="S60" s="136"/>
      <c r="T60" s="136"/>
      <c r="U60" s="136">
        <f t="shared" si="14"/>
        <v>1254</v>
      </c>
    </row>
    <row r="61" spans="1:21" ht="15" outlineLevel="2">
      <c r="A61" s="28" t="s">
        <v>165</v>
      </c>
      <c r="B61" s="11" t="str">
        <f>B60</f>
        <v>DCHS</v>
      </c>
      <c r="C61" s="11" t="str">
        <f>C60</f>
        <v>MHAS</v>
      </c>
      <c r="D61" s="13" t="str">
        <f>D60</f>
        <v>MA SA DM CGF</v>
      </c>
      <c r="E61" s="38" t="str">
        <f>E60</f>
        <v>20-80</v>
      </c>
      <c r="F61" s="20" t="s">
        <v>615</v>
      </c>
      <c r="G61" s="11" t="s">
        <v>615</v>
      </c>
      <c r="H61" s="136"/>
      <c r="I61" s="140"/>
      <c r="J61" s="136"/>
      <c r="K61" s="136"/>
      <c r="L61" s="139"/>
      <c r="M61" s="139"/>
      <c r="N61" s="136"/>
      <c r="O61" s="29">
        <f>0.75+4.25</f>
        <v>5</v>
      </c>
      <c r="P61" s="136">
        <f>O61*$P$2</f>
        <v>360</v>
      </c>
      <c r="Q61" s="140"/>
      <c r="R61" s="136"/>
      <c r="S61" s="136"/>
      <c r="T61" s="136"/>
      <c r="U61" s="136">
        <f t="shared" si="14"/>
        <v>360</v>
      </c>
    </row>
    <row r="62" spans="1:21" s="5" customFormat="1" ht="15.75">
      <c r="A62" s="50" t="s">
        <v>776</v>
      </c>
      <c r="B62" s="49"/>
      <c r="C62" s="2"/>
      <c r="D62" s="61"/>
      <c r="E62" s="44"/>
      <c r="F62" s="51"/>
      <c r="G62" s="45"/>
      <c r="H62" s="137">
        <f aca="true" t="shared" si="15" ref="H62:U62">SUBTOTAL(9,H54:H61)</f>
        <v>2976.5800778000003</v>
      </c>
      <c r="I62" s="167">
        <f t="shared" si="15"/>
        <v>3269</v>
      </c>
      <c r="J62" s="137">
        <f t="shared" si="15"/>
        <v>262.86</v>
      </c>
      <c r="K62" s="137">
        <f t="shared" si="15"/>
        <v>180</v>
      </c>
      <c r="L62" s="141">
        <f t="shared" si="15"/>
        <v>1</v>
      </c>
      <c r="M62" s="141">
        <f t="shared" si="15"/>
        <v>0.4</v>
      </c>
      <c r="N62" s="137">
        <f t="shared" si="15"/>
        <v>1254</v>
      </c>
      <c r="O62" s="169">
        <f t="shared" si="15"/>
        <v>5</v>
      </c>
      <c r="P62" s="137">
        <f t="shared" si="15"/>
        <v>360</v>
      </c>
      <c r="Q62" s="167">
        <f t="shared" si="15"/>
        <v>0</v>
      </c>
      <c r="R62" s="137">
        <f t="shared" si="15"/>
        <v>0</v>
      </c>
      <c r="S62" s="137">
        <f t="shared" si="15"/>
        <v>0</v>
      </c>
      <c r="T62" s="137">
        <f t="shared" si="15"/>
        <v>0</v>
      </c>
      <c r="U62" s="137">
        <f t="shared" si="15"/>
        <v>5033.4400778</v>
      </c>
    </row>
    <row r="63" spans="1:21" ht="15" outlineLevel="2">
      <c r="A63" s="6" t="s">
        <v>168</v>
      </c>
      <c r="B63" s="7" t="s">
        <v>78</v>
      </c>
      <c r="C63" s="7" t="s">
        <v>155</v>
      </c>
      <c r="D63" s="7" t="s">
        <v>169</v>
      </c>
      <c r="E63" s="42" t="s">
        <v>157</v>
      </c>
      <c r="F63" s="39" t="s">
        <v>53</v>
      </c>
      <c r="G63" s="24" t="s">
        <v>65</v>
      </c>
      <c r="H63" s="136">
        <v>0.44041199999999997</v>
      </c>
      <c r="I63" s="149">
        <v>1</v>
      </c>
      <c r="J63" s="136">
        <f>I63*$J$2</f>
        <v>0.06</v>
      </c>
      <c r="K63" s="136">
        <v>15</v>
      </c>
      <c r="L63" s="139"/>
      <c r="M63" s="139"/>
      <c r="N63" s="136"/>
      <c r="O63" s="11"/>
      <c r="P63" s="136"/>
      <c r="Q63" s="140"/>
      <c r="R63" s="136"/>
      <c r="S63" s="136"/>
      <c r="T63" s="136"/>
      <c r="U63" s="136">
        <f>H63+J63+K63+N63+P63+R63+S63+T63</f>
        <v>15.500412</v>
      </c>
    </row>
    <row r="64" spans="1:21" s="5" customFormat="1" ht="15.75">
      <c r="A64" s="50" t="s">
        <v>777</v>
      </c>
      <c r="B64" s="49"/>
      <c r="C64" s="2"/>
      <c r="D64" s="61"/>
      <c r="E64" s="44"/>
      <c r="F64" s="51"/>
      <c r="G64" s="45"/>
      <c r="H64" s="137">
        <f aca="true" t="shared" si="16" ref="H64:U64">SUBTOTAL(9,H63:H63)</f>
        <v>0.44041199999999997</v>
      </c>
      <c r="I64" s="167">
        <f t="shared" si="16"/>
        <v>1</v>
      </c>
      <c r="J64" s="137">
        <f t="shared" si="16"/>
        <v>0.06</v>
      </c>
      <c r="K64" s="137">
        <f t="shared" si="16"/>
        <v>15</v>
      </c>
      <c r="L64" s="141">
        <f t="shared" si="16"/>
        <v>0</v>
      </c>
      <c r="M64" s="141">
        <f t="shared" si="16"/>
        <v>0</v>
      </c>
      <c r="N64" s="137">
        <f t="shared" si="16"/>
        <v>0</v>
      </c>
      <c r="O64" s="169">
        <f t="shared" si="16"/>
        <v>0</v>
      </c>
      <c r="P64" s="137">
        <f t="shared" si="16"/>
        <v>0</v>
      </c>
      <c r="Q64" s="167">
        <f t="shared" si="16"/>
        <v>0</v>
      </c>
      <c r="R64" s="137">
        <f t="shared" si="16"/>
        <v>0</v>
      </c>
      <c r="S64" s="137">
        <f t="shared" si="16"/>
        <v>0</v>
      </c>
      <c r="T64" s="137">
        <f t="shared" si="16"/>
        <v>0</v>
      </c>
      <c r="U64" s="137">
        <f t="shared" si="16"/>
        <v>15.500412</v>
      </c>
    </row>
    <row r="65" spans="1:21" ht="15" outlineLevel="2">
      <c r="A65" s="6" t="s">
        <v>170</v>
      </c>
      <c r="B65" s="7" t="s">
        <v>78</v>
      </c>
      <c r="C65" s="7" t="s">
        <v>171</v>
      </c>
      <c r="D65" s="7" t="s">
        <v>166</v>
      </c>
      <c r="E65" s="42" t="s">
        <v>157</v>
      </c>
      <c r="F65" s="39" t="s">
        <v>53</v>
      </c>
      <c r="G65" s="24" t="s">
        <v>62</v>
      </c>
      <c r="H65" s="136">
        <v>622.1165538000008</v>
      </c>
      <c r="I65" s="149">
        <v>1859</v>
      </c>
      <c r="J65" s="136">
        <f>I65*$J$1</f>
        <v>185.9</v>
      </c>
      <c r="K65" s="136">
        <v>30</v>
      </c>
      <c r="L65" s="139"/>
      <c r="M65" s="139"/>
      <c r="N65" s="136"/>
      <c r="O65" s="11"/>
      <c r="P65" s="136"/>
      <c r="Q65" s="140"/>
      <c r="R65" s="136"/>
      <c r="S65" s="136"/>
      <c r="T65" s="136"/>
      <c r="U65" s="136">
        <f aca="true" t="shared" si="17" ref="U65:U71">H65+J65+K65+N65+P65+R65+S65+T65</f>
        <v>838.0165538000008</v>
      </c>
    </row>
    <row r="66" spans="1:21" ht="15" outlineLevel="2">
      <c r="A66" s="6" t="s">
        <v>170</v>
      </c>
      <c r="B66" s="7" t="s">
        <v>78</v>
      </c>
      <c r="C66" s="7" t="s">
        <v>171</v>
      </c>
      <c r="D66" s="7" t="s">
        <v>166</v>
      </c>
      <c r="E66" s="42" t="s">
        <v>157</v>
      </c>
      <c r="F66" s="39" t="s">
        <v>53</v>
      </c>
      <c r="G66" s="24" t="s">
        <v>63</v>
      </c>
      <c r="H66" s="136">
        <v>105.8362466</v>
      </c>
      <c r="I66" s="149">
        <v>41</v>
      </c>
      <c r="J66" s="136">
        <f>I66*$J$2</f>
        <v>2.46</v>
      </c>
      <c r="K66" s="136">
        <v>0</v>
      </c>
      <c r="L66" s="139"/>
      <c r="M66" s="139"/>
      <c r="N66" s="136"/>
      <c r="O66" s="11"/>
      <c r="P66" s="136"/>
      <c r="Q66" s="140"/>
      <c r="R66" s="136"/>
      <c r="S66" s="136"/>
      <c r="T66" s="136"/>
      <c r="U66" s="136">
        <f t="shared" si="17"/>
        <v>108.29624659999999</v>
      </c>
    </row>
    <row r="67" spans="1:21" ht="15" outlineLevel="2">
      <c r="A67" s="6" t="s">
        <v>170</v>
      </c>
      <c r="B67" s="7" t="s">
        <v>78</v>
      </c>
      <c r="C67" s="7" t="s">
        <v>171</v>
      </c>
      <c r="D67" s="7" t="s">
        <v>166</v>
      </c>
      <c r="E67" s="42" t="s">
        <v>157</v>
      </c>
      <c r="F67" s="39" t="s">
        <v>53</v>
      </c>
      <c r="G67" s="24" t="s">
        <v>64</v>
      </c>
      <c r="H67" s="136">
        <v>343.0211778</v>
      </c>
      <c r="I67" s="149">
        <v>269</v>
      </c>
      <c r="J67" s="136">
        <f>I67*$J$2</f>
        <v>16.14</v>
      </c>
      <c r="K67" s="136">
        <v>0</v>
      </c>
      <c r="L67" s="139"/>
      <c r="M67" s="139"/>
      <c r="N67" s="136"/>
      <c r="O67" s="11"/>
      <c r="P67" s="136"/>
      <c r="Q67" s="140"/>
      <c r="R67" s="136"/>
      <c r="S67" s="136"/>
      <c r="T67" s="136"/>
      <c r="U67" s="136">
        <f t="shared" si="17"/>
        <v>359.16117779999996</v>
      </c>
    </row>
    <row r="68" spans="1:21" ht="15" outlineLevel="2">
      <c r="A68" s="6" t="s">
        <v>170</v>
      </c>
      <c r="B68" s="7" t="s">
        <v>78</v>
      </c>
      <c r="C68" s="7" t="s">
        <v>171</v>
      </c>
      <c r="D68" s="7" t="s">
        <v>166</v>
      </c>
      <c r="E68" s="42" t="s">
        <v>157</v>
      </c>
      <c r="F68" s="39" t="s">
        <v>53</v>
      </c>
      <c r="G68" s="24" t="s">
        <v>65</v>
      </c>
      <c r="H68" s="136">
        <v>295.7744075999998</v>
      </c>
      <c r="I68" s="149">
        <v>609</v>
      </c>
      <c r="J68" s="136">
        <f>I68*$J$2</f>
        <v>36.54</v>
      </c>
      <c r="K68" s="136">
        <v>90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t="shared" si="17"/>
        <v>422.3144075999998</v>
      </c>
    </row>
    <row r="69" spans="1:21" ht="15" outlineLevel="2">
      <c r="A69" s="6" t="s">
        <v>170</v>
      </c>
      <c r="B69" s="7" t="s">
        <v>78</v>
      </c>
      <c r="C69" s="7" t="s">
        <v>171</v>
      </c>
      <c r="D69" s="7" t="s">
        <v>166</v>
      </c>
      <c r="E69" s="42" t="s">
        <v>157</v>
      </c>
      <c r="F69" s="39" t="s">
        <v>53</v>
      </c>
      <c r="G69" s="24" t="s">
        <v>66</v>
      </c>
      <c r="H69" s="136">
        <v>164.5641382</v>
      </c>
      <c r="I69" s="149">
        <v>162</v>
      </c>
      <c r="J69" s="136">
        <f>I69*$J$2</f>
        <v>9.719999999999999</v>
      </c>
      <c r="K69" s="136">
        <v>60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 t="shared" si="17"/>
        <v>234.2841382</v>
      </c>
    </row>
    <row r="70" spans="1:21" ht="15" outlineLevel="2">
      <c r="A70" s="6" t="s">
        <v>170</v>
      </c>
      <c r="B70" s="7" t="s">
        <v>78</v>
      </c>
      <c r="C70" s="7" t="s">
        <v>171</v>
      </c>
      <c r="D70" s="7" t="s">
        <v>166</v>
      </c>
      <c r="E70" s="42" t="s">
        <v>157</v>
      </c>
      <c r="F70" s="39" t="s">
        <v>53</v>
      </c>
      <c r="G70" s="24" t="s">
        <v>104</v>
      </c>
      <c r="H70" s="136">
        <v>86.29978</v>
      </c>
      <c r="I70" s="149">
        <v>7</v>
      </c>
      <c r="J70" s="136">
        <f>I70*$J$2</f>
        <v>0.42</v>
      </c>
      <c r="K70" s="136">
        <v>0</v>
      </c>
      <c r="L70" s="139"/>
      <c r="M70" s="139"/>
      <c r="N70" s="136"/>
      <c r="O70" s="11"/>
      <c r="P70" s="136"/>
      <c r="Q70" s="140"/>
      <c r="R70" s="136"/>
      <c r="S70" s="136"/>
      <c r="T70" s="136"/>
      <c r="U70" s="136">
        <f t="shared" si="17"/>
        <v>86.71978</v>
      </c>
    </row>
    <row r="71" spans="1:21" ht="15" outlineLevel="2">
      <c r="A71" s="36" t="s">
        <v>170</v>
      </c>
      <c r="B71" s="11" t="str">
        <f>B70</f>
        <v>DCHS</v>
      </c>
      <c r="C71" s="11" t="str">
        <f>C70</f>
        <v>BHD</v>
      </c>
      <c r="D71" s="13" t="str">
        <f>D70</f>
        <v>MA SA DM CGF</v>
      </c>
      <c r="E71" s="27" t="str">
        <f>E70</f>
        <v>20-80</v>
      </c>
      <c r="F71" s="20" t="s">
        <v>683</v>
      </c>
      <c r="G71" s="11" t="s">
        <v>683</v>
      </c>
      <c r="H71" s="136"/>
      <c r="I71" s="140"/>
      <c r="J71" s="136"/>
      <c r="K71" s="136"/>
      <c r="L71" s="139"/>
      <c r="M71" s="139"/>
      <c r="N71" s="136"/>
      <c r="O71" s="34"/>
      <c r="P71" s="136"/>
      <c r="Q71" s="140"/>
      <c r="R71" s="136"/>
      <c r="S71" s="136"/>
      <c r="T71" s="150">
        <v>26.8</v>
      </c>
      <c r="U71" s="136">
        <f t="shared" si="17"/>
        <v>26.8</v>
      </c>
    </row>
    <row r="72" spans="1:21" s="5" customFormat="1" ht="15.75">
      <c r="A72" s="50" t="s">
        <v>778</v>
      </c>
      <c r="B72" s="49"/>
      <c r="C72" s="2"/>
      <c r="D72" s="61"/>
      <c r="E72" s="44"/>
      <c r="F72" s="51"/>
      <c r="G72" s="45"/>
      <c r="H72" s="137">
        <f aca="true" t="shared" si="18" ref="H72:U72">SUBTOTAL(9,H65:H71)</f>
        <v>1617.6123040000004</v>
      </c>
      <c r="I72" s="167">
        <f t="shared" si="18"/>
        <v>2947</v>
      </c>
      <c r="J72" s="137">
        <f t="shared" si="18"/>
        <v>251.17999999999998</v>
      </c>
      <c r="K72" s="137">
        <f t="shared" si="18"/>
        <v>180</v>
      </c>
      <c r="L72" s="141">
        <f t="shared" si="18"/>
        <v>0</v>
      </c>
      <c r="M72" s="141">
        <f t="shared" si="18"/>
        <v>0</v>
      </c>
      <c r="N72" s="137">
        <f t="shared" si="18"/>
        <v>0</v>
      </c>
      <c r="O72" s="169">
        <f t="shared" si="18"/>
        <v>0</v>
      </c>
      <c r="P72" s="137">
        <f t="shared" si="18"/>
        <v>0</v>
      </c>
      <c r="Q72" s="167">
        <f t="shared" si="18"/>
        <v>0</v>
      </c>
      <c r="R72" s="137">
        <f t="shared" si="18"/>
        <v>0</v>
      </c>
      <c r="S72" s="137">
        <f t="shared" si="18"/>
        <v>0</v>
      </c>
      <c r="T72" s="137">
        <f t="shared" si="18"/>
        <v>26.8</v>
      </c>
      <c r="U72" s="137">
        <f t="shared" si="18"/>
        <v>2075.5923040000007</v>
      </c>
    </row>
    <row r="73" spans="1:21" ht="15" outlineLevel="2">
      <c r="A73" s="6" t="s">
        <v>172</v>
      </c>
      <c r="B73" s="7" t="s">
        <v>78</v>
      </c>
      <c r="C73" s="7" t="s">
        <v>155</v>
      </c>
      <c r="D73" s="7" t="s">
        <v>173</v>
      </c>
      <c r="E73" s="42" t="s">
        <v>157</v>
      </c>
      <c r="F73" s="39" t="s">
        <v>53</v>
      </c>
      <c r="G73" s="24" t="s">
        <v>62</v>
      </c>
      <c r="H73" s="136">
        <v>1852.7996522000014</v>
      </c>
      <c r="I73" s="149">
        <v>5581</v>
      </c>
      <c r="J73" s="136">
        <f>I73*$J$1</f>
        <v>558.1</v>
      </c>
      <c r="K73" s="136">
        <v>30</v>
      </c>
      <c r="L73" s="139"/>
      <c r="M73" s="139"/>
      <c r="N73" s="136"/>
      <c r="O73" s="11"/>
      <c r="P73" s="136"/>
      <c r="Q73" s="140"/>
      <c r="R73" s="136"/>
      <c r="S73" s="136"/>
      <c r="T73" s="136"/>
      <c r="U73" s="136">
        <f aca="true" t="shared" si="19" ref="U73:U80">H73+J73+K73+N73+P73+R73+S73+T73</f>
        <v>2440.8996522000016</v>
      </c>
    </row>
    <row r="74" spans="1:21" ht="15" outlineLevel="2">
      <c r="A74" s="6" t="s">
        <v>172</v>
      </c>
      <c r="B74" s="7" t="s">
        <v>78</v>
      </c>
      <c r="C74" s="7" t="s">
        <v>155</v>
      </c>
      <c r="D74" s="7" t="s">
        <v>173</v>
      </c>
      <c r="E74" s="42" t="s">
        <v>157</v>
      </c>
      <c r="F74" s="39" t="s">
        <v>53</v>
      </c>
      <c r="G74" s="24" t="s">
        <v>63</v>
      </c>
      <c r="H74" s="136">
        <v>76.4607662</v>
      </c>
      <c r="I74" s="149">
        <v>43</v>
      </c>
      <c r="J74" s="136">
        <f>I74*$J$2</f>
        <v>2.58</v>
      </c>
      <c r="K74" s="136">
        <v>0</v>
      </c>
      <c r="L74" s="139"/>
      <c r="M74" s="139"/>
      <c r="N74" s="136"/>
      <c r="O74" s="11"/>
      <c r="P74" s="136"/>
      <c r="Q74" s="140"/>
      <c r="R74" s="136"/>
      <c r="S74" s="136"/>
      <c r="T74" s="136"/>
      <c r="U74" s="136">
        <f t="shared" si="19"/>
        <v>79.0407662</v>
      </c>
    </row>
    <row r="75" spans="1:21" ht="15" outlineLevel="2">
      <c r="A75" s="6" t="s">
        <v>172</v>
      </c>
      <c r="B75" s="7" t="s">
        <v>78</v>
      </c>
      <c r="C75" s="7" t="s">
        <v>155</v>
      </c>
      <c r="D75" s="7" t="s">
        <v>173</v>
      </c>
      <c r="E75" s="42" t="s">
        <v>157</v>
      </c>
      <c r="F75" s="39" t="s">
        <v>53</v>
      </c>
      <c r="G75" s="24" t="s">
        <v>64</v>
      </c>
      <c r="H75" s="136">
        <v>169.34470560000003</v>
      </c>
      <c r="I75" s="149">
        <v>130</v>
      </c>
      <c r="J75" s="136">
        <f>I75*$J$2</f>
        <v>7.8</v>
      </c>
      <c r="K75" s="136">
        <v>0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t="shared" si="19"/>
        <v>177.14470560000004</v>
      </c>
    </row>
    <row r="76" spans="1:21" ht="15" outlineLevel="2">
      <c r="A76" s="6" t="s">
        <v>172</v>
      </c>
      <c r="B76" s="7" t="s">
        <v>78</v>
      </c>
      <c r="C76" s="7" t="s">
        <v>155</v>
      </c>
      <c r="D76" s="7" t="s">
        <v>173</v>
      </c>
      <c r="E76" s="42" t="s">
        <v>157</v>
      </c>
      <c r="F76" s="39" t="s">
        <v>53</v>
      </c>
      <c r="G76" s="24" t="s">
        <v>65</v>
      </c>
      <c r="H76" s="136">
        <v>490.11144559999946</v>
      </c>
      <c r="I76" s="149">
        <v>1120</v>
      </c>
      <c r="J76" s="136">
        <f>I76*$J$2</f>
        <v>67.2</v>
      </c>
      <c r="K76" s="136">
        <v>90</v>
      </c>
      <c r="L76" s="139"/>
      <c r="M76" s="139"/>
      <c r="N76" s="136"/>
      <c r="O76" s="11"/>
      <c r="P76" s="136"/>
      <c r="Q76" s="140"/>
      <c r="R76" s="136"/>
      <c r="S76" s="136"/>
      <c r="T76" s="136"/>
      <c r="U76" s="136">
        <f t="shared" si="19"/>
        <v>647.3114455999995</v>
      </c>
    </row>
    <row r="77" spans="1:21" ht="15" outlineLevel="2">
      <c r="A77" s="6" t="s">
        <v>172</v>
      </c>
      <c r="B77" s="7" t="s">
        <v>78</v>
      </c>
      <c r="C77" s="7" t="s">
        <v>155</v>
      </c>
      <c r="D77" s="7" t="s">
        <v>173</v>
      </c>
      <c r="E77" s="42" t="s">
        <v>157</v>
      </c>
      <c r="F77" s="39" t="s">
        <v>53</v>
      </c>
      <c r="G77" s="24" t="s">
        <v>66</v>
      </c>
      <c r="H77" s="136">
        <v>65.149518</v>
      </c>
      <c r="I77" s="149">
        <v>54</v>
      </c>
      <c r="J77" s="136">
        <f>I77*$J$2</f>
        <v>3.2399999999999998</v>
      </c>
      <c r="K77" s="136">
        <v>60</v>
      </c>
      <c r="L77" s="139"/>
      <c r="M77" s="139"/>
      <c r="N77" s="136"/>
      <c r="O77" s="11"/>
      <c r="P77" s="136"/>
      <c r="Q77" s="140"/>
      <c r="R77" s="136"/>
      <c r="S77" s="136"/>
      <c r="T77" s="136"/>
      <c r="U77" s="136">
        <f t="shared" si="19"/>
        <v>128.389518</v>
      </c>
    </row>
    <row r="78" spans="1:21" ht="15" outlineLevel="2">
      <c r="A78" s="6" t="s">
        <v>172</v>
      </c>
      <c r="B78" s="7" t="s">
        <v>78</v>
      </c>
      <c r="C78" s="7" t="s">
        <v>155</v>
      </c>
      <c r="D78" s="7" t="s">
        <v>173</v>
      </c>
      <c r="E78" s="42" t="s">
        <v>157</v>
      </c>
      <c r="F78" s="39" t="s">
        <v>53</v>
      </c>
      <c r="G78" s="24" t="s">
        <v>167</v>
      </c>
      <c r="H78" s="136">
        <v>0.7927415999999999</v>
      </c>
      <c r="I78" s="149">
        <v>2</v>
      </c>
      <c r="J78" s="136">
        <f>I78*$J$2</f>
        <v>0.12</v>
      </c>
      <c r="K78" s="136">
        <v>0</v>
      </c>
      <c r="L78" s="139"/>
      <c r="M78" s="139"/>
      <c r="N78" s="136"/>
      <c r="O78" s="11"/>
      <c r="P78" s="136"/>
      <c r="Q78" s="140"/>
      <c r="R78" s="136"/>
      <c r="S78" s="136"/>
      <c r="T78" s="136"/>
      <c r="U78" s="136">
        <f t="shared" si="19"/>
        <v>0.9127415999999999</v>
      </c>
    </row>
    <row r="79" spans="1:21" ht="15" outlineLevel="2">
      <c r="A79" s="6" t="s">
        <v>172</v>
      </c>
      <c r="B79" s="7" t="s">
        <v>78</v>
      </c>
      <c r="C79" s="7" t="s">
        <v>155</v>
      </c>
      <c r="D79" s="7" t="s">
        <v>173</v>
      </c>
      <c r="E79" s="43" t="s">
        <v>157</v>
      </c>
      <c r="F79" s="39" t="s">
        <v>585</v>
      </c>
      <c r="G79" s="16" t="s">
        <v>585</v>
      </c>
      <c r="H79" s="136"/>
      <c r="I79" s="149"/>
      <c r="J79" s="136"/>
      <c r="K79" s="136"/>
      <c r="L79" s="139">
        <v>4</v>
      </c>
      <c r="M79" s="139">
        <v>0.083</v>
      </c>
      <c r="N79" s="136">
        <f>L79*M79*$N$2</f>
        <v>1040.8200000000002</v>
      </c>
      <c r="O79" s="11"/>
      <c r="P79" s="136"/>
      <c r="Q79" s="140"/>
      <c r="R79" s="136"/>
      <c r="S79" s="136"/>
      <c r="T79" s="136"/>
      <c r="U79" s="136">
        <f t="shared" si="19"/>
        <v>1040.8200000000002</v>
      </c>
    </row>
    <row r="80" spans="1:21" ht="15" outlineLevel="2">
      <c r="A80" s="28" t="s">
        <v>172</v>
      </c>
      <c r="B80" s="11" t="str">
        <f>B79</f>
        <v>DCHS</v>
      </c>
      <c r="C80" s="11" t="str">
        <f>C79</f>
        <v>MHAS</v>
      </c>
      <c r="D80" s="13" t="str">
        <f>D79</f>
        <v>MA AS DUII CGF</v>
      </c>
      <c r="E80" s="38" t="str">
        <f>E79</f>
        <v>20-80</v>
      </c>
      <c r="F80" s="20" t="s">
        <v>615</v>
      </c>
      <c r="G80" s="11" t="s">
        <v>615</v>
      </c>
      <c r="H80" s="136"/>
      <c r="I80" s="140"/>
      <c r="J80" s="136"/>
      <c r="K80" s="136"/>
      <c r="L80" s="139"/>
      <c r="M80" s="139"/>
      <c r="N80" s="136"/>
      <c r="O80" s="29">
        <v>0.75</v>
      </c>
      <c r="P80" s="136">
        <f>O80*$P$2</f>
        <v>54</v>
      </c>
      <c r="Q80" s="140"/>
      <c r="R80" s="136"/>
      <c r="S80" s="136"/>
      <c r="T80" s="136"/>
      <c r="U80" s="136">
        <f t="shared" si="19"/>
        <v>54</v>
      </c>
    </row>
    <row r="81" spans="1:21" s="5" customFormat="1" ht="15.75">
      <c r="A81" s="50" t="s">
        <v>779</v>
      </c>
      <c r="B81" s="49"/>
      <c r="C81" s="2"/>
      <c r="D81" s="61"/>
      <c r="E81" s="44"/>
      <c r="F81" s="51"/>
      <c r="G81" s="45"/>
      <c r="H81" s="137">
        <f aca="true" t="shared" si="20" ref="H81:U81">SUBTOTAL(9,H73:H80)</f>
        <v>2654.6588292000015</v>
      </c>
      <c r="I81" s="167">
        <f t="shared" si="20"/>
        <v>6930</v>
      </c>
      <c r="J81" s="137">
        <f t="shared" si="20"/>
        <v>639.0400000000001</v>
      </c>
      <c r="K81" s="137">
        <f t="shared" si="20"/>
        <v>180</v>
      </c>
      <c r="L81" s="141">
        <f t="shared" si="20"/>
        <v>4</v>
      </c>
      <c r="M81" s="141">
        <f t="shared" si="20"/>
        <v>0.083</v>
      </c>
      <c r="N81" s="137">
        <f t="shared" si="20"/>
        <v>1040.8200000000002</v>
      </c>
      <c r="O81" s="169">
        <f t="shared" si="20"/>
        <v>0.75</v>
      </c>
      <c r="P81" s="137">
        <f t="shared" si="20"/>
        <v>54</v>
      </c>
      <c r="Q81" s="167">
        <f t="shared" si="20"/>
        <v>0</v>
      </c>
      <c r="R81" s="137">
        <f t="shared" si="20"/>
        <v>0</v>
      </c>
      <c r="S81" s="137">
        <f t="shared" si="20"/>
        <v>0</v>
      </c>
      <c r="T81" s="137">
        <f t="shared" si="20"/>
        <v>0</v>
      </c>
      <c r="U81" s="137">
        <f t="shared" si="20"/>
        <v>4568.518829200001</v>
      </c>
    </row>
    <row r="82" spans="1:21" ht="15" outlineLevel="2">
      <c r="A82" s="6" t="s">
        <v>174</v>
      </c>
      <c r="B82" s="7" t="s">
        <v>78</v>
      </c>
      <c r="C82" s="7" t="s">
        <v>171</v>
      </c>
      <c r="D82" s="7" t="s">
        <v>169</v>
      </c>
      <c r="E82" s="42" t="s">
        <v>157</v>
      </c>
      <c r="F82" s="39" t="s">
        <v>53</v>
      </c>
      <c r="G82" s="24" t="s">
        <v>62</v>
      </c>
      <c r="H82" s="136">
        <v>0.9814896</v>
      </c>
      <c r="I82" s="149">
        <v>3</v>
      </c>
      <c r="J82" s="136">
        <f>I82*$J$1</f>
        <v>0.30000000000000004</v>
      </c>
      <c r="K82" s="136">
        <v>15</v>
      </c>
      <c r="L82" s="139"/>
      <c r="M82" s="139"/>
      <c r="N82" s="136"/>
      <c r="O82" s="11"/>
      <c r="P82" s="136"/>
      <c r="Q82" s="140"/>
      <c r="R82" s="136"/>
      <c r="S82" s="136"/>
      <c r="T82" s="136"/>
      <c r="U82" s="136">
        <f>H82+J82+K82+N82+P82+R82+S82+T82</f>
        <v>16.2814896</v>
      </c>
    </row>
    <row r="83" spans="1:21" ht="15" outlineLevel="2">
      <c r="A83" s="6" t="s">
        <v>174</v>
      </c>
      <c r="B83" s="7" t="s">
        <v>78</v>
      </c>
      <c r="C83" s="7" t="s">
        <v>171</v>
      </c>
      <c r="D83" s="7" t="s">
        <v>169</v>
      </c>
      <c r="E83" s="42" t="s">
        <v>157</v>
      </c>
      <c r="F83" s="39" t="s">
        <v>53</v>
      </c>
      <c r="G83" s="24" t="s">
        <v>63</v>
      </c>
      <c r="H83" s="136">
        <v>49.451975999999995</v>
      </c>
      <c r="I83" s="149">
        <v>20</v>
      </c>
      <c r="J83" s="136">
        <f>I83*$J$2</f>
        <v>1.2</v>
      </c>
      <c r="K83" s="136">
        <v>0</v>
      </c>
      <c r="L83" s="139"/>
      <c r="M83" s="139"/>
      <c r="N83" s="136"/>
      <c r="O83" s="11"/>
      <c r="P83" s="136"/>
      <c r="Q83" s="140"/>
      <c r="R83" s="136"/>
      <c r="S83" s="136"/>
      <c r="T83" s="136"/>
      <c r="U83" s="136">
        <f>H83+J83+K83+N83+P83+R83+S83+T83</f>
        <v>50.651976</v>
      </c>
    </row>
    <row r="84" spans="1:21" ht="15" outlineLevel="2">
      <c r="A84" s="6" t="s">
        <v>174</v>
      </c>
      <c r="B84" s="7" t="s">
        <v>78</v>
      </c>
      <c r="C84" s="7" t="s">
        <v>171</v>
      </c>
      <c r="D84" s="7" t="s">
        <v>169</v>
      </c>
      <c r="E84" s="42" t="s">
        <v>157</v>
      </c>
      <c r="F84" s="39" t="s">
        <v>53</v>
      </c>
      <c r="G84" s="24" t="s">
        <v>64</v>
      </c>
      <c r="H84" s="136">
        <v>319.77266719999994</v>
      </c>
      <c r="I84" s="149">
        <v>226</v>
      </c>
      <c r="J84" s="136">
        <f>I84*$J$2</f>
        <v>13.559999999999999</v>
      </c>
      <c r="K84" s="136">
        <v>120</v>
      </c>
      <c r="L84" s="139"/>
      <c r="M84" s="139"/>
      <c r="N84" s="136"/>
      <c r="O84" s="11"/>
      <c r="P84" s="136"/>
      <c r="Q84" s="140"/>
      <c r="R84" s="136"/>
      <c r="S84" s="136"/>
      <c r="T84" s="136"/>
      <c r="U84" s="136">
        <f>H84+J84+K84+N84+P84+R84+S84+T84</f>
        <v>453.33266719999995</v>
      </c>
    </row>
    <row r="85" spans="1:21" ht="15" outlineLevel="2">
      <c r="A85" s="6" t="s">
        <v>174</v>
      </c>
      <c r="B85" s="7" t="s">
        <v>78</v>
      </c>
      <c r="C85" s="7" t="s">
        <v>171</v>
      </c>
      <c r="D85" s="7" t="s">
        <v>169</v>
      </c>
      <c r="E85" s="42" t="s">
        <v>157</v>
      </c>
      <c r="F85" s="39" t="s">
        <v>53</v>
      </c>
      <c r="G85" s="24" t="s">
        <v>65</v>
      </c>
      <c r="H85" s="136">
        <v>4.7040196</v>
      </c>
      <c r="I85" s="149">
        <v>6</v>
      </c>
      <c r="J85" s="136">
        <f>I85*$J$2</f>
        <v>0.36</v>
      </c>
      <c r="K85" s="136">
        <v>0</v>
      </c>
      <c r="L85" s="139"/>
      <c r="M85" s="139"/>
      <c r="N85" s="136"/>
      <c r="O85" s="11"/>
      <c r="P85" s="136"/>
      <c r="Q85" s="140"/>
      <c r="R85" s="136"/>
      <c r="S85" s="136"/>
      <c r="T85" s="136"/>
      <c r="U85" s="136">
        <f>H85+J85+K85+N85+P85+R85+S85+T85</f>
        <v>5.0640196</v>
      </c>
    </row>
    <row r="86" spans="1:21" ht="15" outlineLevel="2">
      <c r="A86" s="6" t="s">
        <v>174</v>
      </c>
      <c r="B86" s="7" t="s">
        <v>78</v>
      </c>
      <c r="C86" s="7" t="s">
        <v>171</v>
      </c>
      <c r="D86" s="7" t="s">
        <v>169</v>
      </c>
      <c r="E86" s="42" t="s">
        <v>157</v>
      </c>
      <c r="F86" s="39" t="s">
        <v>53</v>
      </c>
      <c r="G86" s="24" t="s">
        <v>66</v>
      </c>
      <c r="H86" s="136">
        <v>97.68443020000001</v>
      </c>
      <c r="I86" s="149">
        <v>83</v>
      </c>
      <c r="J86" s="136">
        <f>I86*$J$2</f>
        <v>4.9799999999999995</v>
      </c>
      <c r="K86" s="136">
        <v>45</v>
      </c>
      <c r="L86" s="139"/>
      <c r="M86" s="139"/>
      <c r="N86" s="136"/>
      <c r="O86" s="11"/>
      <c r="P86" s="136"/>
      <c r="Q86" s="140"/>
      <c r="R86" s="136"/>
      <c r="S86" s="136"/>
      <c r="T86" s="136"/>
      <c r="U86" s="136">
        <f>H86+J86+K86+N86+P86+R86+S86+T86</f>
        <v>147.66443020000003</v>
      </c>
    </row>
    <row r="87" spans="1:21" s="5" customFormat="1" ht="15.75">
      <c r="A87" s="50" t="s">
        <v>780</v>
      </c>
      <c r="B87" s="49"/>
      <c r="C87" s="2"/>
      <c r="D87" s="61"/>
      <c r="E87" s="44"/>
      <c r="F87" s="51"/>
      <c r="G87" s="45"/>
      <c r="H87" s="137">
        <f aca="true" t="shared" si="21" ref="H87:U87">SUBTOTAL(9,H82:H86)</f>
        <v>472.5945825999999</v>
      </c>
      <c r="I87" s="167">
        <f t="shared" si="21"/>
        <v>338</v>
      </c>
      <c r="J87" s="137">
        <f t="shared" si="21"/>
        <v>20.4</v>
      </c>
      <c r="K87" s="137">
        <f t="shared" si="21"/>
        <v>180</v>
      </c>
      <c r="L87" s="141">
        <f t="shared" si="21"/>
        <v>0</v>
      </c>
      <c r="M87" s="141">
        <f t="shared" si="21"/>
        <v>0</v>
      </c>
      <c r="N87" s="137">
        <f t="shared" si="21"/>
        <v>0</v>
      </c>
      <c r="O87" s="169">
        <f t="shared" si="21"/>
        <v>0</v>
      </c>
      <c r="P87" s="137">
        <f t="shared" si="21"/>
        <v>0</v>
      </c>
      <c r="Q87" s="167">
        <f t="shared" si="21"/>
        <v>0</v>
      </c>
      <c r="R87" s="137">
        <f t="shared" si="21"/>
        <v>0</v>
      </c>
      <c r="S87" s="137">
        <f t="shared" si="21"/>
        <v>0</v>
      </c>
      <c r="T87" s="137">
        <f t="shared" si="21"/>
        <v>0</v>
      </c>
      <c r="U87" s="137">
        <f t="shared" si="21"/>
        <v>672.9945826000001</v>
      </c>
    </row>
    <row r="88" spans="1:21" ht="15" outlineLevel="2">
      <c r="A88" s="6" t="s">
        <v>175</v>
      </c>
      <c r="B88" s="7" t="s">
        <v>78</v>
      </c>
      <c r="C88" s="7" t="s">
        <v>148</v>
      </c>
      <c r="D88" s="7" t="s">
        <v>176</v>
      </c>
      <c r="E88" s="42" t="s">
        <v>81</v>
      </c>
      <c r="F88" s="39" t="s">
        <v>53</v>
      </c>
      <c r="G88" s="24" t="s">
        <v>62</v>
      </c>
      <c r="H88" s="136">
        <v>46.8954892</v>
      </c>
      <c r="I88" s="149">
        <v>142</v>
      </c>
      <c r="J88" s="136">
        <f>I88*$J$1</f>
        <v>14.200000000000001</v>
      </c>
      <c r="K88" s="136">
        <v>120</v>
      </c>
      <c r="L88" s="139"/>
      <c r="M88" s="139"/>
      <c r="N88" s="136"/>
      <c r="O88" s="11"/>
      <c r="P88" s="136"/>
      <c r="Q88" s="140"/>
      <c r="R88" s="136"/>
      <c r="S88" s="136"/>
      <c r="T88" s="136"/>
      <c r="U88" s="136">
        <f>H88+J88+K88+N88+P88+R88+S88+T88</f>
        <v>181.0954892</v>
      </c>
    </row>
    <row r="89" spans="1:21" ht="15" outlineLevel="2">
      <c r="A89" s="6" t="s">
        <v>175</v>
      </c>
      <c r="B89" s="7" t="s">
        <v>78</v>
      </c>
      <c r="C89" s="7" t="s">
        <v>148</v>
      </c>
      <c r="D89" s="7" t="s">
        <v>176</v>
      </c>
      <c r="E89" s="42" t="s">
        <v>81</v>
      </c>
      <c r="F89" s="39" t="s">
        <v>53</v>
      </c>
      <c r="G89" s="24" t="s">
        <v>63</v>
      </c>
      <c r="H89" s="136">
        <v>40.308184</v>
      </c>
      <c r="I89" s="149">
        <v>9</v>
      </c>
      <c r="J89" s="136">
        <f>I89*$J$2</f>
        <v>0.54</v>
      </c>
      <c r="K89" s="136">
        <v>0</v>
      </c>
      <c r="L89" s="139"/>
      <c r="M89" s="139"/>
      <c r="N89" s="136"/>
      <c r="O89" s="11"/>
      <c r="P89" s="136"/>
      <c r="Q89" s="140"/>
      <c r="R89" s="136"/>
      <c r="S89" s="136"/>
      <c r="T89" s="136"/>
      <c r="U89" s="136">
        <f>H89+J89+K89+N89+P89+R89+S89+T89</f>
        <v>40.848183999999996</v>
      </c>
    </row>
    <row r="90" spans="1:21" ht="15" outlineLevel="2">
      <c r="A90" s="6" t="s">
        <v>175</v>
      </c>
      <c r="B90" s="7" t="s">
        <v>78</v>
      </c>
      <c r="C90" s="7" t="s">
        <v>148</v>
      </c>
      <c r="D90" s="7" t="s">
        <v>176</v>
      </c>
      <c r="E90" s="42" t="s">
        <v>81</v>
      </c>
      <c r="F90" s="39" t="s">
        <v>53</v>
      </c>
      <c r="G90" s="24" t="s">
        <v>64</v>
      </c>
      <c r="H90" s="136">
        <v>19.66125</v>
      </c>
      <c r="I90" s="149">
        <v>16</v>
      </c>
      <c r="J90" s="136">
        <f>I90*$J$2</f>
        <v>0.96</v>
      </c>
      <c r="K90" s="136">
        <v>45</v>
      </c>
      <c r="L90" s="139"/>
      <c r="M90" s="139"/>
      <c r="N90" s="136"/>
      <c r="O90" s="11"/>
      <c r="P90" s="136"/>
      <c r="Q90" s="140"/>
      <c r="R90" s="136"/>
      <c r="S90" s="136"/>
      <c r="T90" s="136"/>
      <c r="U90" s="136">
        <f>H90+J90+K90+N90+P90+R90+S90+T90</f>
        <v>65.62125</v>
      </c>
    </row>
    <row r="91" spans="1:21" ht="15" outlineLevel="2">
      <c r="A91" s="6" t="s">
        <v>175</v>
      </c>
      <c r="B91" s="7" t="s">
        <v>78</v>
      </c>
      <c r="C91" s="7" t="s">
        <v>148</v>
      </c>
      <c r="D91" s="7" t="s">
        <v>176</v>
      </c>
      <c r="E91" s="42" t="s">
        <v>81</v>
      </c>
      <c r="F91" s="39" t="s">
        <v>53</v>
      </c>
      <c r="G91" s="24" t="s">
        <v>65</v>
      </c>
      <c r="H91" s="136">
        <v>9.898784</v>
      </c>
      <c r="I91" s="149">
        <v>20</v>
      </c>
      <c r="J91" s="136">
        <f>I91*$J$2</f>
        <v>1.2</v>
      </c>
      <c r="K91" s="136">
        <v>15</v>
      </c>
      <c r="L91" s="139"/>
      <c r="M91" s="139"/>
      <c r="N91" s="136"/>
      <c r="O91" s="11"/>
      <c r="P91" s="136"/>
      <c r="Q91" s="140"/>
      <c r="R91" s="136"/>
      <c r="S91" s="136"/>
      <c r="T91" s="136"/>
      <c r="U91" s="136">
        <f>H91+J91+K91+N91+P91+R91+S91+T91</f>
        <v>26.098784</v>
      </c>
    </row>
    <row r="92" spans="1:21" ht="15" outlineLevel="2">
      <c r="A92" s="28" t="s">
        <v>175</v>
      </c>
      <c r="B92" s="11" t="str">
        <f>B91</f>
        <v>DCHS</v>
      </c>
      <c r="C92" s="11" t="str">
        <f>C91</f>
        <v>DIRECTOR'S OFFICE</v>
      </c>
      <c r="D92" s="13" t="str">
        <f>D91</f>
        <v>CHSDO.IND1000</v>
      </c>
      <c r="E92" s="38" t="str">
        <f>E91</f>
        <v>26-10</v>
      </c>
      <c r="F92" s="20" t="s">
        <v>615</v>
      </c>
      <c r="G92" s="11" t="s">
        <v>615</v>
      </c>
      <c r="H92" s="136"/>
      <c r="I92" s="140"/>
      <c r="J92" s="136"/>
      <c r="K92" s="136"/>
      <c r="L92" s="139"/>
      <c r="M92" s="139"/>
      <c r="N92" s="136"/>
      <c r="O92" s="29">
        <v>0.75</v>
      </c>
      <c r="P92" s="136">
        <f>O92*$P$2</f>
        <v>54</v>
      </c>
      <c r="Q92" s="140"/>
      <c r="R92" s="136"/>
      <c r="S92" s="136"/>
      <c r="T92" s="136"/>
      <c r="U92" s="136">
        <f>H92+J92+K92+N92+P92+R92+S92+T92</f>
        <v>54</v>
      </c>
    </row>
    <row r="93" spans="1:21" s="5" customFormat="1" ht="15.75">
      <c r="A93" s="50" t="s">
        <v>781</v>
      </c>
      <c r="B93" s="49"/>
      <c r="C93" s="2"/>
      <c r="D93" s="61"/>
      <c r="E93" s="44"/>
      <c r="F93" s="51"/>
      <c r="G93" s="45"/>
      <c r="H93" s="137">
        <f aca="true" t="shared" si="22" ref="H93:U93">SUBTOTAL(9,H88:H92)</f>
        <v>116.7637072</v>
      </c>
      <c r="I93" s="167">
        <f t="shared" si="22"/>
        <v>187</v>
      </c>
      <c r="J93" s="137">
        <f t="shared" si="22"/>
        <v>16.900000000000002</v>
      </c>
      <c r="K93" s="137">
        <f t="shared" si="22"/>
        <v>180</v>
      </c>
      <c r="L93" s="141">
        <f t="shared" si="22"/>
        <v>0</v>
      </c>
      <c r="M93" s="141">
        <f t="shared" si="22"/>
        <v>0</v>
      </c>
      <c r="N93" s="137">
        <f t="shared" si="22"/>
        <v>0</v>
      </c>
      <c r="O93" s="169">
        <f t="shared" si="22"/>
        <v>0.75</v>
      </c>
      <c r="P93" s="137">
        <f t="shared" si="22"/>
        <v>54</v>
      </c>
      <c r="Q93" s="167">
        <f t="shared" si="22"/>
        <v>0</v>
      </c>
      <c r="R93" s="137">
        <f t="shared" si="22"/>
        <v>0</v>
      </c>
      <c r="S93" s="137">
        <f t="shared" si="22"/>
        <v>0</v>
      </c>
      <c r="T93" s="137">
        <f t="shared" si="22"/>
        <v>0</v>
      </c>
      <c r="U93" s="137">
        <f t="shared" si="22"/>
        <v>367.66370720000003</v>
      </c>
    </row>
    <row r="94" spans="1:21" ht="15" outlineLevel="2">
      <c r="A94" s="6" t="s">
        <v>177</v>
      </c>
      <c r="B94" s="7" t="s">
        <v>78</v>
      </c>
      <c r="C94" s="7" t="s">
        <v>178</v>
      </c>
      <c r="D94" s="7" t="s">
        <v>179</v>
      </c>
      <c r="E94" s="42" t="s">
        <v>180</v>
      </c>
      <c r="F94" s="39" t="s">
        <v>53</v>
      </c>
      <c r="G94" s="24" t="s">
        <v>62</v>
      </c>
      <c r="H94" s="136">
        <v>631.1366110000007</v>
      </c>
      <c r="I94" s="149">
        <v>1780</v>
      </c>
      <c r="J94" s="136">
        <f>I94*$J$1</f>
        <v>178</v>
      </c>
      <c r="K94" s="136">
        <v>0</v>
      </c>
      <c r="L94" s="139"/>
      <c r="M94" s="139"/>
      <c r="N94" s="136"/>
      <c r="O94" s="11"/>
      <c r="P94" s="136"/>
      <c r="Q94" s="140"/>
      <c r="R94" s="136"/>
      <c r="S94" s="136"/>
      <c r="T94" s="136"/>
      <c r="U94" s="136">
        <f aca="true" t="shared" si="23" ref="U94:U101">H94+J94+K94+N94+P94+R94+S94+T94</f>
        <v>809.1366110000007</v>
      </c>
    </row>
    <row r="95" spans="1:21" ht="15" outlineLevel="2">
      <c r="A95" s="6" t="s">
        <v>177</v>
      </c>
      <c r="B95" s="7" t="s">
        <v>78</v>
      </c>
      <c r="C95" s="7" t="s">
        <v>178</v>
      </c>
      <c r="D95" s="7" t="s">
        <v>179</v>
      </c>
      <c r="E95" s="42" t="s">
        <v>180</v>
      </c>
      <c r="F95" s="39" t="s">
        <v>53</v>
      </c>
      <c r="G95" s="24" t="s">
        <v>63</v>
      </c>
      <c r="H95" s="136">
        <v>897.6487870000008</v>
      </c>
      <c r="I95" s="149">
        <v>316</v>
      </c>
      <c r="J95" s="136">
        <f>I95*$J$2</f>
        <v>18.96</v>
      </c>
      <c r="K95" s="136">
        <v>15</v>
      </c>
      <c r="L95" s="139"/>
      <c r="M95" s="139"/>
      <c r="N95" s="136"/>
      <c r="O95" s="11"/>
      <c r="P95" s="136"/>
      <c r="Q95" s="140"/>
      <c r="R95" s="136"/>
      <c r="S95" s="136"/>
      <c r="T95" s="136"/>
      <c r="U95" s="136">
        <f t="shared" si="23"/>
        <v>931.6087870000008</v>
      </c>
    </row>
    <row r="96" spans="1:21" ht="15" outlineLevel="2">
      <c r="A96" s="6" t="s">
        <v>177</v>
      </c>
      <c r="B96" s="7" t="s">
        <v>78</v>
      </c>
      <c r="C96" s="7" t="s">
        <v>178</v>
      </c>
      <c r="D96" s="7" t="s">
        <v>179</v>
      </c>
      <c r="E96" s="42" t="s">
        <v>180</v>
      </c>
      <c r="F96" s="39" t="s">
        <v>53</v>
      </c>
      <c r="G96" s="24" t="s">
        <v>64</v>
      </c>
      <c r="H96" s="136">
        <v>1110.6760714</v>
      </c>
      <c r="I96" s="149">
        <v>727</v>
      </c>
      <c r="J96" s="136">
        <f>I96*$J$2</f>
        <v>43.62</v>
      </c>
      <c r="K96" s="136">
        <v>15</v>
      </c>
      <c r="L96" s="139"/>
      <c r="M96" s="139"/>
      <c r="N96" s="136"/>
      <c r="O96" s="11"/>
      <c r="P96" s="136"/>
      <c r="Q96" s="140"/>
      <c r="R96" s="136"/>
      <c r="S96" s="136"/>
      <c r="T96" s="136"/>
      <c r="U96" s="136">
        <f t="shared" si="23"/>
        <v>1169.2960713999998</v>
      </c>
    </row>
    <row r="97" spans="1:21" ht="15" outlineLevel="2">
      <c r="A97" s="6" t="s">
        <v>177</v>
      </c>
      <c r="B97" s="7" t="s">
        <v>78</v>
      </c>
      <c r="C97" s="7" t="s">
        <v>178</v>
      </c>
      <c r="D97" s="7" t="s">
        <v>179</v>
      </c>
      <c r="E97" s="42" t="s">
        <v>180</v>
      </c>
      <c r="F97" s="39" t="s">
        <v>53</v>
      </c>
      <c r="G97" s="24" t="s">
        <v>65</v>
      </c>
      <c r="H97" s="136">
        <v>192.3415522</v>
      </c>
      <c r="I97" s="149">
        <v>354</v>
      </c>
      <c r="J97" s="136">
        <f>I97*$J$2</f>
        <v>21.24</v>
      </c>
      <c r="K97" s="136">
        <v>60</v>
      </c>
      <c r="L97" s="139"/>
      <c r="M97" s="139"/>
      <c r="N97" s="136"/>
      <c r="O97" s="11"/>
      <c r="P97" s="136"/>
      <c r="Q97" s="140"/>
      <c r="R97" s="136"/>
      <c r="S97" s="136"/>
      <c r="T97" s="136"/>
      <c r="U97" s="136">
        <f t="shared" si="23"/>
        <v>273.58155220000003</v>
      </c>
    </row>
    <row r="98" spans="1:21" ht="15" outlineLevel="2">
      <c r="A98" s="6" t="s">
        <v>177</v>
      </c>
      <c r="B98" s="7" t="s">
        <v>78</v>
      </c>
      <c r="C98" s="7" t="s">
        <v>178</v>
      </c>
      <c r="D98" s="7" t="s">
        <v>179</v>
      </c>
      <c r="E98" s="42" t="s">
        <v>180</v>
      </c>
      <c r="F98" s="39" t="s">
        <v>53</v>
      </c>
      <c r="G98" s="24" t="s">
        <v>66</v>
      </c>
      <c r="H98" s="136">
        <v>502.90856</v>
      </c>
      <c r="I98" s="149">
        <v>411</v>
      </c>
      <c r="J98" s="136">
        <f>I98*$J$2</f>
        <v>24.66</v>
      </c>
      <c r="K98" s="136">
        <v>90</v>
      </c>
      <c r="L98" s="139"/>
      <c r="M98" s="139"/>
      <c r="N98" s="136"/>
      <c r="O98" s="11"/>
      <c r="P98" s="136"/>
      <c r="Q98" s="140"/>
      <c r="R98" s="136"/>
      <c r="S98" s="136"/>
      <c r="T98" s="136"/>
      <c r="U98" s="136">
        <f t="shared" si="23"/>
        <v>617.56856</v>
      </c>
    </row>
    <row r="99" spans="1:21" ht="15" outlineLevel="2">
      <c r="A99" s="6" t="s">
        <v>177</v>
      </c>
      <c r="B99" s="7" t="s">
        <v>78</v>
      </c>
      <c r="C99" s="7" t="s">
        <v>178</v>
      </c>
      <c r="D99" s="7" t="s">
        <v>179</v>
      </c>
      <c r="E99" s="42" t="s">
        <v>180</v>
      </c>
      <c r="F99" s="39" t="s">
        <v>53</v>
      </c>
      <c r="G99" s="11" t="s">
        <v>167</v>
      </c>
      <c r="H99" s="136">
        <v>0.94374</v>
      </c>
      <c r="I99" s="140">
        <v>1</v>
      </c>
      <c r="J99" s="136">
        <f>I99*$J$2</f>
        <v>0.06</v>
      </c>
      <c r="K99" s="136">
        <v>0</v>
      </c>
      <c r="L99" s="139"/>
      <c r="M99" s="139"/>
      <c r="N99" s="136"/>
      <c r="O99" s="11"/>
      <c r="P99" s="136"/>
      <c r="Q99" s="140"/>
      <c r="R99" s="136"/>
      <c r="S99" s="136"/>
      <c r="T99" s="136"/>
      <c r="U99" s="136">
        <f t="shared" si="23"/>
        <v>1.00374</v>
      </c>
    </row>
    <row r="100" spans="1:21" ht="15" outlineLevel="2">
      <c r="A100" s="6" t="s">
        <v>177</v>
      </c>
      <c r="B100" s="7" t="s">
        <v>78</v>
      </c>
      <c r="C100" s="7" t="s">
        <v>178</v>
      </c>
      <c r="D100" s="7" t="s">
        <v>179</v>
      </c>
      <c r="E100" s="42" t="s">
        <v>180</v>
      </c>
      <c r="F100" s="39" t="s">
        <v>585</v>
      </c>
      <c r="G100" s="7" t="s">
        <v>585</v>
      </c>
      <c r="H100" s="136"/>
      <c r="I100" s="140"/>
      <c r="J100" s="136"/>
      <c r="K100" s="136"/>
      <c r="L100" s="139">
        <v>1</v>
      </c>
      <c r="M100" s="139">
        <v>0.25</v>
      </c>
      <c r="N100" s="136">
        <f>L100*M100*$N$2</f>
        <v>783.75</v>
      </c>
      <c r="O100" s="11"/>
      <c r="P100" s="136"/>
      <c r="Q100" s="140"/>
      <c r="R100" s="136"/>
      <c r="S100" s="136"/>
      <c r="T100" s="136"/>
      <c r="U100" s="136">
        <f t="shared" si="23"/>
        <v>783.75</v>
      </c>
    </row>
    <row r="101" spans="1:21" ht="15" outlineLevel="2">
      <c r="A101" s="36" t="s">
        <v>177</v>
      </c>
      <c r="B101" s="11" t="str">
        <f>B100</f>
        <v>DCHS</v>
      </c>
      <c r="C101" s="11" t="str">
        <f>C100</f>
        <v>ADS</v>
      </c>
      <c r="D101" s="13" t="str">
        <f>D100</f>
        <v>ADSDIVADM201XIX</v>
      </c>
      <c r="E101" s="27" t="str">
        <f>E100</f>
        <v>30-01</v>
      </c>
      <c r="F101" s="20" t="s">
        <v>683</v>
      </c>
      <c r="G101" s="11" t="s">
        <v>683</v>
      </c>
      <c r="H101" s="136"/>
      <c r="I101" s="140"/>
      <c r="J101" s="136"/>
      <c r="K101" s="136"/>
      <c r="L101" s="139"/>
      <c r="M101" s="139"/>
      <c r="N101" s="136"/>
      <c r="O101" s="34"/>
      <c r="P101" s="136"/>
      <c r="Q101" s="140"/>
      <c r="R101" s="136"/>
      <c r="S101" s="136"/>
      <c r="T101" s="150">
        <v>5.19</v>
      </c>
      <c r="U101" s="136">
        <f t="shared" si="23"/>
        <v>5.19</v>
      </c>
    </row>
    <row r="102" spans="1:21" s="5" customFormat="1" ht="15.75">
      <c r="A102" s="50" t="s">
        <v>782</v>
      </c>
      <c r="B102" s="49"/>
      <c r="C102" s="2"/>
      <c r="D102" s="61"/>
      <c r="E102" s="44"/>
      <c r="F102" s="51"/>
      <c r="G102" s="45"/>
      <c r="H102" s="137">
        <f aca="true" t="shared" si="24" ref="H102:U102">SUBTOTAL(9,H94:H101)</f>
        <v>3335.655321600001</v>
      </c>
      <c r="I102" s="167">
        <f t="shared" si="24"/>
        <v>3589</v>
      </c>
      <c r="J102" s="137">
        <f t="shared" si="24"/>
        <v>286.54</v>
      </c>
      <c r="K102" s="137">
        <f t="shared" si="24"/>
        <v>180</v>
      </c>
      <c r="L102" s="141">
        <f t="shared" si="24"/>
        <v>1</v>
      </c>
      <c r="M102" s="141">
        <f t="shared" si="24"/>
        <v>0.25</v>
      </c>
      <c r="N102" s="137">
        <f t="shared" si="24"/>
        <v>783.75</v>
      </c>
      <c r="O102" s="169">
        <f t="shared" si="24"/>
        <v>0</v>
      </c>
      <c r="P102" s="137">
        <f t="shared" si="24"/>
        <v>0</v>
      </c>
      <c r="Q102" s="167">
        <f t="shared" si="24"/>
        <v>0</v>
      </c>
      <c r="R102" s="137">
        <f t="shared" si="24"/>
        <v>0</v>
      </c>
      <c r="S102" s="137">
        <f t="shared" si="24"/>
        <v>0</v>
      </c>
      <c r="T102" s="137">
        <f t="shared" si="24"/>
        <v>5.19</v>
      </c>
      <c r="U102" s="137">
        <f t="shared" si="24"/>
        <v>4591.135321600002</v>
      </c>
    </row>
    <row r="103" spans="1:21" ht="15" outlineLevel="2">
      <c r="A103" s="6" t="s">
        <v>181</v>
      </c>
      <c r="B103" s="7" t="s">
        <v>78</v>
      </c>
      <c r="C103" s="7" t="s">
        <v>178</v>
      </c>
      <c r="D103" s="7" t="s">
        <v>182</v>
      </c>
      <c r="E103" s="42" t="s">
        <v>183</v>
      </c>
      <c r="F103" s="39" t="s">
        <v>53</v>
      </c>
      <c r="G103" s="24" t="s">
        <v>62</v>
      </c>
      <c r="H103" s="136">
        <v>235.10870320000006</v>
      </c>
      <c r="I103" s="149">
        <v>696</v>
      </c>
      <c r="J103" s="136">
        <f>I103*$J$1</f>
        <v>69.60000000000001</v>
      </c>
      <c r="K103" s="136">
        <v>165</v>
      </c>
      <c r="L103" s="139"/>
      <c r="M103" s="139"/>
      <c r="N103" s="136"/>
      <c r="O103" s="11"/>
      <c r="P103" s="136"/>
      <c r="Q103" s="140"/>
      <c r="R103" s="136"/>
      <c r="S103" s="136"/>
      <c r="T103" s="136"/>
      <c r="U103" s="136">
        <f aca="true" t="shared" si="25" ref="U103:U109">H103+J103+K103+N103+P103+R103+S103+T103</f>
        <v>469.70870320000006</v>
      </c>
    </row>
    <row r="104" spans="1:21" ht="15" outlineLevel="2">
      <c r="A104" s="6" t="s">
        <v>181</v>
      </c>
      <c r="B104" s="7" t="s">
        <v>78</v>
      </c>
      <c r="C104" s="7" t="s">
        <v>178</v>
      </c>
      <c r="D104" s="7" t="s">
        <v>182</v>
      </c>
      <c r="E104" s="42" t="s">
        <v>183</v>
      </c>
      <c r="F104" s="39" t="s">
        <v>53</v>
      </c>
      <c r="G104" s="24" t="s">
        <v>63</v>
      </c>
      <c r="H104" s="136">
        <v>26.823188</v>
      </c>
      <c r="I104" s="149">
        <v>6</v>
      </c>
      <c r="J104" s="136">
        <f>I104*$J$2</f>
        <v>0.36</v>
      </c>
      <c r="K104" s="136">
        <v>0</v>
      </c>
      <c r="L104" s="139"/>
      <c r="M104" s="139"/>
      <c r="N104" s="136"/>
      <c r="O104" s="11"/>
      <c r="P104" s="136"/>
      <c r="Q104" s="140"/>
      <c r="R104" s="136"/>
      <c r="S104" s="136"/>
      <c r="T104" s="136"/>
      <c r="U104" s="136">
        <f t="shared" si="25"/>
        <v>27.183187999999998</v>
      </c>
    </row>
    <row r="105" spans="1:21" ht="15" outlineLevel="2">
      <c r="A105" s="6" t="s">
        <v>181</v>
      </c>
      <c r="B105" s="7" t="s">
        <v>78</v>
      </c>
      <c r="C105" s="7" t="s">
        <v>178</v>
      </c>
      <c r="D105" s="7" t="s">
        <v>182</v>
      </c>
      <c r="E105" s="42" t="s">
        <v>183</v>
      </c>
      <c r="F105" s="39" t="s">
        <v>53</v>
      </c>
      <c r="G105" s="24" t="s">
        <v>64</v>
      </c>
      <c r="H105" s="136">
        <v>16.054066</v>
      </c>
      <c r="I105" s="149">
        <v>14</v>
      </c>
      <c r="J105" s="136">
        <f>I105*$J$2</f>
        <v>0.84</v>
      </c>
      <c r="K105" s="136">
        <v>0</v>
      </c>
      <c r="L105" s="139"/>
      <c r="M105" s="139"/>
      <c r="N105" s="136"/>
      <c r="O105" s="11"/>
      <c r="P105" s="136"/>
      <c r="Q105" s="140"/>
      <c r="R105" s="136"/>
      <c r="S105" s="136"/>
      <c r="T105" s="136"/>
      <c r="U105" s="136">
        <f t="shared" si="25"/>
        <v>16.894066</v>
      </c>
    </row>
    <row r="106" spans="1:21" ht="15" outlineLevel="2">
      <c r="A106" s="6" t="s">
        <v>181</v>
      </c>
      <c r="B106" s="7" t="s">
        <v>78</v>
      </c>
      <c r="C106" s="7" t="s">
        <v>178</v>
      </c>
      <c r="D106" s="7" t="s">
        <v>182</v>
      </c>
      <c r="E106" s="42" t="s">
        <v>183</v>
      </c>
      <c r="F106" s="39" t="s">
        <v>53</v>
      </c>
      <c r="G106" s="24" t="s">
        <v>65</v>
      </c>
      <c r="H106" s="136">
        <v>54.959223200000004</v>
      </c>
      <c r="I106" s="149">
        <v>21</v>
      </c>
      <c r="J106" s="136">
        <f>I106*$J$2</f>
        <v>1.26</v>
      </c>
      <c r="K106" s="136">
        <v>15</v>
      </c>
      <c r="L106" s="139"/>
      <c r="M106" s="139"/>
      <c r="N106" s="136"/>
      <c r="O106" s="11"/>
      <c r="P106" s="136"/>
      <c r="Q106" s="140"/>
      <c r="R106" s="136"/>
      <c r="S106" s="136"/>
      <c r="T106" s="136"/>
      <c r="U106" s="136">
        <f t="shared" si="25"/>
        <v>71.2192232</v>
      </c>
    </row>
    <row r="107" spans="1:21" ht="15" outlineLevel="2">
      <c r="A107" s="6" t="s">
        <v>181</v>
      </c>
      <c r="B107" s="7" t="s">
        <v>78</v>
      </c>
      <c r="C107" s="7" t="s">
        <v>178</v>
      </c>
      <c r="D107" s="7" t="s">
        <v>182</v>
      </c>
      <c r="E107" s="42" t="s">
        <v>183</v>
      </c>
      <c r="F107" s="39" t="s">
        <v>53</v>
      </c>
      <c r="G107" s="24" t="s">
        <v>66</v>
      </c>
      <c r="H107" s="136">
        <v>9.0483694</v>
      </c>
      <c r="I107" s="149">
        <v>6</v>
      </c>
      <c r="J107" s="136">
        <f>I107*$J$2</f>
        <v>0.36</v>
      </c>
      <c r="K107" s="136">
        <v>0</v>
      </c>
      <c r="L107" s="139"/>
      <c r="M107" s="139"/>
      <c r="N107" s="136"/>
      <c r="O107" s="11"/>
      <c r="P107" s="136"/>
      <c r="Q107" s="140"/>
      <c r="R107" s="136"/>
      <c r="S107" s="136"/>
      <c r="T107" s="136"/>
      <c r="U107" s="136">
        <f t="shared" si="25"/>
        <v>9.4083694</v>
      </c>
    </row>
    <row r="108" spans="1:21" ht="15" outlineLevel="2">
      <c r="A108" s="6" t="s">
        <v>181</v>
      </c>
      <c r="B108" s="7" t="s">
        <v>78</v>
      </c>
      <c r="C108" s="7" t="s">
        <v>178</v>
      </c>
      <c r="D108" s="7" t="s">
        <v>182</v>
      </c>
      <c r="E108" s="42" t="s">
        <v>183</v>
      </c>
      <c r="F108" s="39" t="s">
        <v>585</v>
      </c>
      <c r="G108" s="16" t="s">
        <v>585</v>
      </c>
      <c r="H108" s="136"/>
      <c r="I108" s="149"/>
      <c r="J108" s="136"/>
      <c r="K108" s="136"/>
      <c r="L108" s="139">
        <v>1</v>
      </c>
      <c r="M108" s="139">
        <v>0.5</v>
      </c>
      <c r="N108" s="136">
        <f>L108*M108*$N$2</f>
        <v>1567.5</v>
      </c>
      <c r="O108" s="11"/>
      <c r="P108" s="136"/>
      <c r="Q108" s="140"/>
      <c r="R108" s="136"/>
      <c r="S108" s="136"/>
      <c r="T108" s="136"/>
      <c r="U108" s="136">
        <f t="shared" si="25"/>
        <v>1567.5</v>
      </c>
    </row>
    <row r="109" spans="1:21" ht="15" outlineLevel="2">
      <c r="A109" s="28" t="s">
        <v>181</v>
      </c>
      <c r="B109" s="11" t="str">
        <f>B108</f>
        <v>DCHS</v>
      </c>
      <c r="C109" s="11" t="str">
        <f>C108</f>
        <v>ADS</v>
      </c>
      <c r="D109" s="13" t="str">
        <f>D108</f>
        <v>ADSDIVAPSXIX</v>
      </c>
      <c r="E109" s="38" t="str">
        <f>E108</f>
        <v>30-80</v>
      </c>
      <c r="F109" s="20" t="s">
        <v>615</v>
      </c>
      <c r="G109" s="11" t="s">
        <v>615</v>
      </c>
      <c r="H109" s="136"/>
      <c r="I109" s="140"/>
      <c r="J109" s="136"/>
      <c r="K109" s="136"/>
      <c r="L109" s="139"/>
      <c r="M109" s="139"/>
      <c r="N109" s="136"/>
      <c r="O109" s="29">
        <f>2.25+0.5</f>
        <v>2.75</v>
      </c>
      <c r="P109" s="136">
        <f>O109*$P$2</f>
        <v>198</v>
      </c>
      <c r="Q109" s="140"/>
      <c r="R109" s="136"/>
      <c r="S109" s="136"/>
      <c r="T109" s="136"/>
      <c r="U109" s="136">
        <f t="shared" si="25"/>
        <v>198</v>
      </c>
    </row>
    <row r="110" spans="1:21" s="5" customFormat="1" ht="15.75">
      <c r="A110" s="50" t="s">
        <v>783</v>
      </c>
      <c r="B110" s="49"/>
      <c r="C110" s="2"/>
      <c r="D110" s="61"/>
      <c r="E110" s="44"/>
      <c r="F110" s="51"/>
      <c r="G110" s="45"/>
      <c r="H110" s="137">
        <f aca="true" t="shared" si="26" ref="H110:U110">SUBTOTAL(9,H103:H109)</f>
        <v>341.99354980000004</v>
      </c>
      <c r="I110" s="167">
        <f t="shared" si="26"/>
        <v>743</v>
      </c>
      <c r="J110" s="137">
        <f t="shared" si="26"/>
        <v>72.42000000000002</v>
      </c>
      <c r="K110" s="137">
        <f t="shared" si="26"/>
        <v>180</v>
      </c>
      <c r="L110" s="141">
        <f t="shared" si="26"/>
        <v>1</v>
      </c>
      <c r="M110" s="141">
        <f t="shared" si="26"/>
        <v>0.5</v>
      </c>
      <c r="N110" s="137">
        <f t="shared" si="26"/>
        <v>1567.5</v>
      </c>
      <c r="O110" s="169">
        <f t="shared" si="26"/>
        <v>2.75</v>
      </c>
      <c r="P110" s="137">
        <f t="shared" si="26"/>
        <v>198</v>
      </c>
      <c r="Q110" s="167">
        <f t="shared" si="26"/>
        <v>0</v>
      </c>
      <c r="R110" s="137">
        <f t="shared" si="26"/>
        <v>0</v>
      </c>
      <c r="S110" s="137">
        <f t="shared" si="26"/>
        <v>0</v>
      </c>
      <c r="T110" s="137">
        <f t="shared" si="26"/>
        <v>0</v>
      </c>
      <c r="U110" s="137">
        <f t="shared" si="26"/>
        <v>2359.9135498</v>
      </c>
    </row>
    <row r="111" spans="1:21" ht="15" outlineLevel="2">
      <c r="A111" s="6" t="s">
        <v>184</v>
      </c>
      <c r="B111" s="7" t="s">
        <v>78</v>
      </c>
      <c r="C111" s="7" t="s">
        <v>178</v>
      </c>
      <c r="D111" s="7" t="s">
        <v>185</v>
      </c>
      <c r="E111" s="42" t="s">
        <v>186</v>
      </c>
      <c r="F111" s="39" t="s">
        <v>53</v>
      </c>
      <c r="G111" s="24" t="s">
        <v>62</v>
      </c>
      <c r="H111" s="136">
        <v>4523.4947212</v>
      </c>
      <c r="I111" s="149">
        <v>13029</v>
      </c>
      <c r="J111" s="136">
        <f>I111*$J$1</f>
        <v>1302.9</v>
      </c>
      <c r="K111" s="136">
        <v>0</v>
      </c>
      <c r="L111" s="139"/>
      <c r="M111" s="139"/>
      <c r="N111" s="136"/>
      <c r="O111" s="11"/>
      <c r="P111" s="136"/>
      <c r="Q111" s="140"/>
      <c r="R111" s="136"/>
      <c r="S111" s="136"/>
      <c r="T111" s="136"/>
      <c r="U111" s="136">
        <f aca="true" t="shared" si="27" ref="U111:U120">H111+J111+K111+N111+P111+R111+S111+T111</f>
        <v>5826.3947212</v>
      </c>
    </row>
    <row r="112" spans="1:21" ht="15" outlineLevel="2">
      <c r="A112" s="6" t="s">
        <v>184</v>
      </c>
      <c r="B112" s="7" t="s">
        <v>78</v>
      </c>
      <c r="C112" s="7" t="s">
        <v>178</v>
      </c>
      <c r="D112" s="7" t="s">
        <v>185</v>
      </c>
      <c r="E112" s="42" t="s">
        <v>186</v>
      </c>
      <c r="F112" s="39" t="s">
        <v>53</v>
      </c>
      <c r="G112" s="24" t="s">
        <v>63</v>
      </c>
      <c r="H112" s="136">
        <v>1006.9307332000004</v>
      </c>
      <c r="I112" s="149">
        <v>340</v>
      </c>
      <c r="J112" s="136">
        <f aca="true" t="shared" si="28" ref="J112:J117">I112*$J$2</f>
        <v>20.4</v>
      </c>
      <c r="K112" s="136">
        <v>0</v>
      </c>
      <c r="L112" s="139"/>
      <c r="M112" s="139"/>
      <c r="N112" s="136"/>
      <c r="O112" s="11"/>
      <c r="P112" s="136"/>
      <c r="Q112" s="140"/>
      <c r="R112" s="136"/>
      <c r="S112" s="136"/>
      <c r="T112" s="136"/>
      <c r="U112" s="136">
        <f t="shared" si="27"/>
        <v>1027.3307332000004</v>
      </c>
    </row>
    <row r="113" spans="1:21" ht="15" outlineLevel="2">
      <c r="A113" s="6" t="s">
        <v>184</v>
      </c>
      <c r="B113" s="7" t="s">
        <v>78</v>
      </c>
      <c r="C113" s="7" t="s">
        <v>178</v>
      </c>
      <c r="D113" s="7" t="s">
        <v>185</v>
      </c>
      <c r="E113" s="42" t="s">
        <v>186</v>
      </c>
      <c r="F113" s="39" t="s">
        <v>53</v>
      </c>
      <c r="G113" s="24" t="s">
        <v>64</v>
      </c>
      <c r="H113" s="136">
        <v>2639.1154313999996</v>
      </c>
      <c r="I113" s="149">
        <v>2216</v>
      </c>
      <c r="J113" s="136">
        <f t="shared" si="28"/>
        <v>132.96</v>
      </c>
      <c r="K113" s="136">
        <v>30</v>
      </c>
      <c r="L113" s="139"/>
      <c r="M113" s="139"/>
      <c r="N113" s="136"/>
      <c r="O113" s="11"/>
      <c r="P113" s="136"/>
      <c r="Q113" s="140"/>
      <c r="R113" s="136"/>
      <c r="S113" s="136"/>
      <c r="T113" s="136"/>
      <c r="U113" s="136">
        <f t="shared" si="27"/>
        <v>2802.0754313999996</v>
      </c>
    </row>
    <row r="114" spans="1:21" ht="15" outlineLevel="2">
      <c r="A114" s="6" t="s">
        <v>184</v>
      </c>
      <c r="B114" s="7" t="s">
        <v>78</v>
      </c>
      <c r="C114" s="7" t="s">
        <v>178</v>
      </c>
      <c r="D114" s="7" t="s">
        <v>185</v>
      </c>
      <c r="E114" s="42" t="s">
        <v>186</v>
      </c>
      <c r="F114" s="39" t="s">
        <v>53</v>
      </c>
      <c r="G114" s="24" t="s">
        <v>65</v>
      </c>
      <c r="H114" s="136">
        <v>1022.0819546000002</v>
      </c>
      <c r="I114" s="149">
        <v>1798</v>
      </c>
      <c r="J114" s="136">
        <f t="shared" si="28"/>
        <v>107.88</v>
      </c>
      <c r="K114" s="136">
        <v>75</v>
      </c>
      <c r="L114" s="139"/>
      <c r="M114" s="139"/>
      <c r="N114" s="136"/>
      <c r="O114" s="11"/>
      <c r="P114" s="136"/>
      <c r="Q114" s="140"/>
      <c r="R114" s="136"/>
      <c r="S114" s="136"/>
      <c r="T114" s="136"/>
      <c r="U114" s="136">
        <f t="shared" si="27"/>
        <v>1204.9619546000004</v>
      </c>
    </row>
    <row r="115" spans="1:21" ht="15" outlineLevel="2">
      <c r="A115" s="6" t="s">
        <v>184</v>
      </c>
      <c r="B115" s="7" t="s">
        <v>78</v>
      </c>
      <c r="C115" s="7" t="s">
        <v>178</v>
      </c>
      <c r="D115" s="7" t="s">
        <v>185</v>
      </c>
      <c r="E115" s="42" t="s">
        <v>186</v>
      </c>
      <c r="F115" s="39" t="s">
        <v>53</v>
      </c>
      <c r="G115" s="24" t="s">
        <v>66</v>
      </c>
      <c r="H115" s="136">
        <v>1533.6204926</v>
      </c>
      <c r="I115" s="149">
        <v>1659</v>
      </c>
      <c r="J115" s="136">
        <f t="shared" si="28"/>
        <v>99.53999999999999</v>
      </c>
      <c r="K115" s="136">
        <v>75</v>
      </c>
      <c r="L115" s="139"/>
      <c r="M115" s="139"/>
      <c r="N115" s="136"/>
      <c r="O115" s="11"/>
      <c r="P115" s="136"/>
      <c r="Q115" s="140"/>
      <c r="R115" s="136"/>
      <c r="S115" s="136"/>
      <c r="T115" s="136"/>
      <c r="U115" s="136">
        <f t="shared" si="27"/>
        <v>1708.1604926</v>
      </c>
    </row>
    <row r="116" spans="1:21" ht="15" outlineLevel="2">
      <c r="A116" s="6" t="s">
        <v>184</v>
      </c>
      <c r="B116" s="7" t="s">
        <v>78</v>
      </c>
      <c r="C116" s="7" t="s">
        <v>178</v>
      </c>
      <c r="D116" s="7" t="s">
        <v>185</v>
      </c>
      <c r="E116" s="42" t="s">
        <v>186</v>
      </c>
      <c r="F116" s="39" t="s">
        <v>53</v>
      </c>
      <c r="G116" s="11" t="s">
        <v>167</v>
      </c>
      <c r="H116" s="136">
        <v>1.6672740000000001</v>
      </c>
      <c r="I116" s="140">
        <v>2</v>
      </c>
      <c r="J116" s="136">
        <f t="shared" si="28"/>
        <v>0.12</v>
      </c>
      <c r="K116" s="136">
        <v>0</v>
      </c>
      <c r="L116" s="139"/>
      <c r="M116" s="139"/>
      <c r="N116" s="136"/>
      <c r="O116" s="11"/>
      <c r="P116" s="136"/>
      <c r="Q116" s="140"/>
      <c r="R116" s="136"/>
      <c r="S116" s="136"/>
      <c r="T116" s="136"/>
      <c r="U116" s="136">
        <f t="shared" si="27"/>
        <v>1.787274</v>
      </c>
    </row>
    <row r="117" spans="1:21" ht="15" outlineLevel="2">
      <c r="A117" s="6" t="s">
        <v>184</v>
      </c>
      <c r="B117" s="7" t="s">
        <v>78</v>
      </c>
      <c r="C117" s="7" t="s">
        <v>178</v>
      </c>
      <c r="D117" s="7" t="s">
        <v>185</v>
      </c>
      <c r="E117" s="42" t="s">
        <v>186</v>
      </c>
      <c r="F117" s="39" t="s">
        <v>53</v>
      </c>
      <c r="G117" s="24" t="s">
        <v>90</v>
      </c>
      <c r="H117" s="136">
        <v>1352.148728</v>
      </c>
      <c r="I117" s="149">
        <v>4784</v>
      </c>
      <c r="J117" s="136">
        <f t="shared" si="28"/>
        <v>287.03999999999996</v>
      </c>
      <c r="K117" s="136">
        <v>0</v>
      </c>
      <c r="L117" s="139"/>
      <c r="M117" s="139"/>
      <c r="N117" s="136"/>
      <c r="O117" s="11"/>
      <c r="P117" s="136"/>
      <c r="Q117" s="140"/>
      <c r="R117" s="136"/>
      <c r="S117" s="136"/>
      <c r="T117" s="136"/>
      <c r="U117" s="136">
        <f t="shared" si="27"/>
        <v>1639.1887279999999</v>
      </c>
    </row>
    <row r="118" spans="1:21" s="22" customFormat="1" ht="15" outlineLevel="2">
      <c r="A118" s="6" t="s">
        <v>184</v>
      </c>
      <c r="B118" s="7" t="s">
        <v>78</v>
      </c>
      <c r="C118" s="7" t="s">
        <v>178</v>
      </c>
      <c r="D118" s="7" t="s">
        <v>185</v>
      </c>
      <c r="E118" s="42" t="s">
        <v>186</v>
      </c>
      <c r="F118" s="39" t="s">
        <v>585</v>
      </c>
      <c r="G118" s="16" t="s">
        <v>585</v>
      </c>
      <c r="H118" s="136"/>
      <c r="I118" s="149"/>
      <c r="J118" s="136"/>
      <c r="K118" s="136"/>
      <c r="L118" s="139">
        <v>2</v>
      </c>
      <c r="M118" s="139">
        <v>1</v>
      </c>
      <c r="N118" s="136">
        <f>L118*M118*$N$2</f>
        <v>6270</v>
      </c>
      <c r="O118" s="11"/>
      <c r="P118" s="136"/>
      <c r="Q118" s="140"/>
      <c r="R118" s="136"/>
      <c r="S118" s="136"/>
      <c r="T118" s="136"/>
      <c r="U118" s="136">
        <f t="shared" si="27"/>
        <v>6270</v>
      </c>
    </row>
    <row r="119" spans="1:21" ht="15" outlineLevel="2">
      <c r="A119" s="28" t="s">
        <v>184</v>
      </c>
      <c r="B119" s="11" t="str">
        <f aca="true" t="shared" si="29" ref="B119:E120">B118</f>
        <v>DCHS</v>
      </c>
      <c r="C119" s="11" t="str">
        <f t="shared" si="29"/>
        <v>ADS</v>
      </c>
      <c r="D119" s="13" t="str">
        <f t="shared" si="29"/>
        <v>ADSDIVLTCMCXIX</v>
      </c>
      <c r="E119" s="38" t="str">
        <f t="shared" si="29"/>
        <v>30-55</v>
      </c>
      <c r="F119" s="20" t="s">
        <v>615</v>
      </c>
      <c r="G119" s="11" t="s">
        <v>615</v>
      </c>
      <c r="H119" s="136"/>
      <c r="I119" s="140"/>
      <c r="J119" s="136"/>
      <c r="K119" s="136"/>
      <c r="L119" s="139"/>
      <c r="M119" s="139"/>
      <c r="N119" s="136"/>
      <c r="O119" s="29">
        <f>2.25+2.25</f>
        <v>4.5</v>
      </c>
      <c r="P119" s="136">
        <f>O119*$P$2</f>
        <v>324</v>
      </c>
      <c r="Q119" s="140"/>
      <c r="R119" s="136"/>
      <c r="S119" s="136"/>
      <c r="T119" s="136"/>
      <c r="U119" s="136">
        <f t="shared" si="27"/>
        <v>324</v>
      </c>
    </row>
    <row r="120" spans="1:21" ht="15" outlineLevel="2">
      <c r="A120" s="36" t="s">
        <v>184</v>
      </c>
      <c r="B120" s="11" t="str">
        <f t="shared" si="29"/>
        <v>DCHS</v>
      </c>
      <c r="C120" s="11" t="str">
        <f t="shared" si="29"/>
        <v>ADS</v>
      </c>
      <c r="D120" s="13" t="str">
        <f t="shared" si="29"/>
        <v>ADSDIVLTCMCXIX</v>
      </c>
      <c r="E120" s="27" t="str">
        <f t="shared" si="29"/>
        <v>30-55</v>
      </c>
      <c r="F120" s="20" t="s">
        <v>683</v>
      </c>
      <c r="G120" s="11" t="s">
        <v>683</v>
      </c>
      <c r="H120" s="136"/>
      <c r="I120" s="140"/>
      <c r="J120" s="136"/>
      <c r="K120" s="136"/>
      <c r="L120" s="139"/>
      <c r="M120" s="139"/>
      <c r="N120" s="136"/>
      <c r="O120" s="34"/>
      <c r="P120" s="136"/>
      <c r="Q120" s="140"/>
      <c r="R120" s="136"/>
      <c r="S120" s="136"/>
      <c r="T120" s="150">
        <v>14.31</v>
      </c>
      <c r="U120" s="136">
        <f t="shared" si="27"/>
        <v>14.31</v>
      </c>
    </row>
    <row r="121" spans="1:21" s="5" customFormat="1" ht="15.75">
      <c r="A121" s="50" t="s">
        <v>784</v>
      </c>
      <c r="B121" s="49"/>
      <c r="C121" s="2"/>
      <c r="D121" s="61"/>
      <c r="E121" s="44"/>
      <c r="F121" s="51"/>
      <c r="G121" s="45"/>
      <c r="H121" s="137">
        <f aca="true" t="shared" si="30" ref="H121:U121">SUBTOTAL(9,H111:H120)</f>
        <v>12079.059334999998</v>
      </c>
      <c r="I121" s="167">
        <f t="shared" si="30"/>
        <v>23828</v>
      </c>
      <c r="J121" s="137">
        <f t="shared" si="30"/>
        <v>1950.8400000000001</v>
      </c>
      <c r="K121" s="137">
        <f t="shared" si="30"/>
        <v>180</v>
      </c>
      <c r="L121" s="141">
        <f t="shared" si="30"/>
        <v>2</v>
      </c>
      <c r="M121" s="141">
        <f t="shared" si="30"/>
        <v>1</v>
      </c>
      <c r="N121" s="137">
        <f t="shared" si="30"/>
        <v>6270</v>
      </c>
      <c r="O121" s="169">
        <f t="shared" si="30"/>
        <v>4.5</v>
      </c>
      <c r="P121" s="137">
        <f t="shared" si="30"/>
        <v>324</v>
      </c>
      <c r="Q121" s="167">
        <f t="shared" si="30"/>
        <v>0</v>
      </c>
      <c r="R121" s="137">
        <f t="shared" si="30"/>
        <v>0</v>
      </c>
      <c r="S121" s="137">
        <f t="shared" si="30"/>
        <v>0</v>
      </c>
      <c r="T121" s="137">
        <f t="shared" si="30"/>
        <v>14.31</v>
      </c>
      <c r="U121" s="137">
        <f t="shared" si="30"/>
        <v>20818.209335</v>
      </c>
    </row>
    <row r="122" spans="1:21" ht="15" outlineLevel="2">
      <c r="A122" s="6" t="s">
        <v>187</v>
      </c>
      <c r="B122" s="7" t="s">
        <v>78</v>
      </c>
      <c r="C122" s="7" t="s">
        <v>178</v>
      </c>
      <c r="D122" s="7" t="s">
        <v>188</v>
      </c>
      <c r="E122" s="42" t="s">
        <v>186</v>
      </c>
      <c r="F122" s="39" t="s">
        <v>53</v>
      </c>
      <c r="G122" s="24" t="s">
        <v>62</v>
      </c>
      <c r="H122" s="136">
        <v>2776.6812653999996</v>
      </c>
      <c r="I122" s="149">
        <v>8204</v>
      </c>
      <c r="J122" s="136">
        <f>I122*$J$1</f>
        <v>820.4000000000001</v>
      </c>
      <c r="K122" s="136">
        <v>0</v>
      </c>
      <c r="L122" s="139"/>
      <c r="M122" s="139"/>
      <c r="N122" s="136"/>
      <c r="O122" s="11"/>
      <c r="P122" s="136"/>
      <c r="Q122" s="140"/>
      <c r="R122" s="136"/>
      <c r="S122" s="136"/>
      <c r="T122" s="136"/>
      <c r="U122" s="136">
        <f aca="true" t="shared" si="31" ref="U122:U129">H122+J122+K122+N122+P122+R122+S122+T122</f>
        <v>3597.0812653999997</v>
      </c>
    </row>
    <row r="123" spans="1:21" ht="15" outlineLevel="2">
      <c r="A123" s="6" t="s">
        <v>187</v>
      </c>
      <c r="B123" s="7" t="s">
        <v>78</v>
      </c>
      <c r="C123" s="7" t="s">
        <v>178</v>
      </c>
      <c r="D123" s="7" t="s">
        <v>188</v>
      </c>
      <c r="E123" s="42" t="s">
        <v>186</v>
      </c>
      <c r="F123" s="39" t="s">
        <v>53</v>
      </c>
      <c r="G123" s="24" t="s">
        <v>63</v>
      </c>
      <c r="H123" s="136">
        <v>1014.3296548000002</v>
      </c>
      <c r="I123" s="149">
        <v>229</v>
      </c>
      <c r="J123" s="136">
        <f>I123*$J$2</f>
        <v>13.74</v>
      </c>
      <c r="K123" s="136">
        <v>15</v>
      </c>
      <c r="L123" s="139"/>
      <c r="M123" s="139"/>
      <c r="N123" s="136"/>
      <c r="O123" s="11"/>
      <c r="P123" s="136"/>
      <c r="Q123" s="140"/>
      <c r="R123" s="136"/>
      <c r="S123" s="136"/>
      <c r="T123" s="136"/>
      <c r="U123" s="136">
        <f t="shared" si="31"/>
        <v>1043.0696548</v>
      </c>
    </row>
    <row r="124" spans="1:21" ht="15" outlineLevel="2">
      <c r="A124" s="6" t="s">
        <v>187</v>
      </c>
      <c r="B124" s="7" t="s">
        <v>78</v>
      </c>
      <c r="C124" s="7" t="s">
        <v>178</v>
      </c>
      <c r="D124" s="7" t="s">
        <v>188</v>
      </c>
      <c r="E124" s="42" t="s">
        <v>186</v>
      </c>
      <c r="F124" s="39" t="s">
        <v>53</v>
      </c>
      <c r="G124" s="24" t="s">
        <v>64</v>
      </c>
      <c r="H124" s="136">
        <v>885.7587115999999</v>
      </c>
      <c r="I124" s="149">
        <v>699</v>
      </c>
      <c r="J124" s="136">
        <f>I124*$J$2</f>
        <v>41.94</v>
      </c>
      <c r="K124" s="136">
        <v>30</v>
      </c>
      <c r="L124" s="139"/>
      <c r="M124" s="139"/>
      <c r="N124" s="136"/>
      <c r="O124" s="11"/>
      <c r="P124" s="136"/>
      <c r="Q124" s="140"/>
      <c r="R124" s="136"/>
      <c r="S124" s="136"/>
      <c r="T124" s="136"/>
      <c r="U124" s="136">
        <f t="shared" si="31"/>
        <v>957.6987115999998</v>
      </c>
    </row>
    <row r="125" spans="1:21" ht="15" outlineLevel="2">
      <c r="A125" s="6" t="s">
        <v>187</v>
      </c>
      <c r="B125" s="7" t="s">
        <v>78</v>
      </c>
      <c r="C125" s="7" t="s">
        <v>178</v>
      </c>
      <c r="D125" s="7" t="s">
        <v>188</v>
      </c>
      <c r="E125" s="42" t="s">
        <v>186</v>
      </c>
      <c r="F125" s="39" t="s">
        <v>53</v>
      </c>
      <c r="G125" s="24" t="s">
        <v>65</v>
      </c>
      <c r="H125" s="136">
        <v>358.4660071999999</v>
      </c>
      <c r="I125" s="149">
        <v>886</v>
      </c>
      <c r="J125" s="136">
        <f>I125*$J$2</f>
        <v>53.16</v>
      </c>
      <c r="K125" s="136">
        <v>75</v>
      </c>
      <c r="L125" s="139"/>
      <c r="M125" s="139"/>
      <c r="N125" s="136"/>
      <c r="O125" s="11"/>
      <c r="P125" s="136"/>
      <c r="Q125" s="140"/>
      <c r="R125" s="136"/>
      <c r="S125" s="136"/>
      <c r="T125" s="136"/>
      <c r="U125" s="136">
        <f t="shared" si="31"/>
        <v>486.6260071999999</v>
      </c>
    </row>
    <row r="126" spans="1:21" ht="15" outlineLevel="2">
      <c r="A126" s="6" t="s">
        <v>187</v>
      </c>
      <c r="B126" s="7" t="s">
        <v>78</v>
      </c>
      <c r="C126" s="7" t="s">
        <v>178</v>
      </c>
      <c r="D126" s="7" t="s">
        <v>188</v>
      </c>
      <c r="E126" s="42" t="s">
        <v>186</v>
      </c>
      <c r="F126" s="39" t="s">
        <v>53</v>
      </c>
      <c r="G126" s="24" t="s">
        <v>66</v>
      </c>
      <c r="H126" s="136">
        <v>456.3674976000001</v>
      </c>
      <c r="I126" s="149">
        <v>472</v>
      </c>
      <c r="J126" s="136">
        <f>I126*$J$2</f>
        <v>28.32</v>
      </c>
      <c r="K126" s="136">
        <v>60</v>
      </c>
      <c r="L126" s="139"/>
      <c r="M126" s="139"/>
      <c r="N126" s="136"/>
      <c r="O126" s="11"/>
      <c r="P126" s="136"/>
      <c r="Q126" s="140"/>
      <c r="R126" s="136"/>
      <c r="S126" s="136"/>
      <c r="T126" s="136"/>
      <c r="U126" s="136">
        <f t="shared" si="31"/>
        <v>544.6874976000001</v>
      </c>
    </row>
    <row r="127" spans="1:21" ht="15" outlineLevel="2">
      <c r="A127" s="6" t="s">
        <v>187</v>
      </c>
      <c r="B127" s="7" t="s">
        <v>78</v>
      </c>
      <c r="C127" s="7" t="s">
        <v>178</v>
      </c>
      <c r="D127" s="7" t="s">
        <v>188</v>
      </c>
      <c r="E127" s="42" t="s">
        <v>186</v>
      </c>
      <c r="F127" s="39" t="s">
        <v>585</v>
      </c>
      <c r="G127" s="16" t="s">
        <v>585</v>
      </c>
      <c r="H127" s="136"/>
      <c r="I127" s="149"/>
      <c r="J127" s="136"/>
      <c r="K127" s="136"/>
      <c r="L127" s="139">
        <v>2</v>
      </c>
      <c r="M127" s="139">
        <v>1</v>
      </c>
      <c r="N127" s="136">
        <f>L127*M127*$N$2</f>
        <v>6270</v>
      </c>
      <c r="O127" s="11"/>
      <c r="P127" s="136"/>
      <c r="Q127" s="140"/>
      <c r="R127" s="136"/>
      <c r="S127" s="136"/>
      <c r="T127" s="136"/>
      <c r="U127" s="136">
        <f t="shared" si="31"/>
        <v>6270</v>
      </c>
    </row>
    <row r="128" spans="1:21" ht="15" outlineLevel="2">
      <c r="A128" s="28" t="s">
        <v>187</v>
      </c>
      <c r="B128" s="11" t="str">
        <f aca="true" t="shared" si="32" ref="B128:E129">B127</f>
        <v>DCHS</v>
      </c>
      <c r="C128" s="11" t="str">
        <f t="shared" si="32"/>
        <v>ADS</v>
      </c>
      <c r="D128" s="13" t="str">
        <f t="shared" si="32"/>
        <v>ADSDIVLTCWDXIX</v>
      </c>
      <c r="E128" s="38" t="str">
        <f t="shared" si="32"/>
        <v>30-55</v>
      </c>
      <c r="F128" s="20" t="s">
        <v>615</v>
      </c>
      <c r="G128" s="11" t="s">
        <v>615</v>
      </c>
      <c r="H128" s="136"/>
      <c r="I128" s="140"/>
      <c r="J128" s="136"/>
      <c r="K128" s="136"/>
      <c r="L128" s="139"/>
      <c r="M128" s="139"/>
      <c r="N128" s="136"/>
      <c r="O128" s="29">
        <f>2+1.5</f>
        <v>3.5</v>
      </c>
      <c r="P128" s="136">
        <f>O128*$P$2</f>
        <v>252</v>
      </c>
      <c r="Q128" s="140"/>
      <c r="R128" s="136"/>
      <c r="S128" s="136"/>
      <c r="T128" s="136"/>
      <c r="U128" s="136">
        <f t="shared" si="31"/>
        <v>252</v>
      </c>
    </row>
    <row r="129" spans="1:21" ht="15" outlineLevel="2">
      <c r="A129" s="36" t="s">
        <v>642</v>
      </c>
      <c r="B129" s="11" t="str">
        <f t="shared" si="32"/>
        <v>DCHS</v>
      </c>
      <c r="C129" s="11" t="str">
        <f t="shared" si="32"/>
        <v>ADS</v>
      </c>
      <c r="D129" s="13" t="str">
        <f t="shared" si="32"/>
        <v>ADSDIVLTCWDXIX</v>
      </c>
      <c r="E129" s="27" t="str">
        <f t="shared" si="32"/>
        <v>30-55</v>
      </c>
      <c r="F129" s="20" t="s">
        <v>683</v>
      </c>
      <c r="G129" s="11" t="s">
        <v>683</v>
      </c>
      <c r="H129" s="136"/>
      <c r="I129" s="140"/>
      <c r="J129" s="136"/>
      <c r="K129" s="136"/>
      <c r="L129" s="139"/>
      <c r="M129" s="139"/>
      <c r="N129" s="136"/>
      <c r="O129" s="34"/>
      <c r="P129" s="136"/>
      <c r="Q129" s="140"/>
      <c r="R129" s="136"/>
      <c r="S129" s="136"/>
      <c r="T129" s="150">
        <v>11.35</v>
      </c>
      <c r="U129" s="136">
        <f t="shared" si="31"/>
        <v>11.35</v>
      </c>
    </row>
    <row r="130" spans="1:21" s="5" customFormat="1" ht="15.75">
      <c r="A130" s="50" t="s">
        <v>785</v>
      </c>
      <c r="B130" s="49"/>
      <c r="C130" s="2"/>
      <c r="D130" s="61"/>
      <c r="E130" s="44"/>
      <c r="F130" s="51"/>
      <c r="G130" s="45"/>
      <c r="H130" s="137">
        <f aca="true" t="shared" si="33" ref="H130:U130">SUBTOTAL(9,H122:H129)</f>
        <v>5491.6031366</v>
      </c>
      <c r="I130" s="167">
        <f t="shared" si="33"/>
        <v>10490</v>
      </c>
      <c r="J130" s="137">
        <f t="shared" si="33"/>
        <v>957.5600000000002</v>
      </c>
      <c r="K130" s="137">
        <f t="shared" si="33"/>
        <v>180</v>
      </c>
      <c r="L130" s="141">
        <f t="shared" si="33"/>
        <v>2</v>
      </c>
      <c r="M130" s="141">
        <f t="shared" si="33"/>
        <v>1</v>
      </c>
      <c r="N130" s="137">
        <f t="shared" si="33"/>
        <v>6270</v>
      </c>
      <c r="O130" s="169">
        <f t="shared" si="33"/>
        <v>3.5</v>
      </c>
      <c r="P130" s="137">
        <f t="shared" si="33"/>
        <v>252</v>
      </c>
      <c r="Q130" s="167">
        <f t="shared" si="33"/>
        <v>0</v>
      </c>
      <c r="R130" s="137">
        <f t="shared" si="33"/>
        <v>0</v>
      </c>
      <c r="S130" s="137">
        <f t="shared" si="33"/>
        <v>0</v>
      </c>
      <c r="T130" s="137">
        <f t="shared" si="33"/>
        <v>11.35</v>
      </c>
      <c r="U130" s="137">
        <f t="shared" si="33"/>
        <v>13162.5131366</v>
      </c>
    </row>
    <row r="131" spans="1:21" ht="15" outlineLevel="2">
      <c r="A131" s="6" t="s">
        <v>189</v>
      </c>
      <c r="B131" s="7" t="s">
        <v>78</v>
      </c>
      <c r="C131" s="7" t="s">
        <v>178</v>
      </c>
      <c r="D131" s="7" t="s">
        <v>190</v>
      </c>
      <c r="E131" s="42" t="s">
        <v>186</v>
      </c>
      <c r="F131" s="39" t="s">
        <v>53</v>
      </c>
      <c r="G131" s="24" t="s">
        <v>62</v>
      </c>
      <c r="H131" s="136">
        <v>3420.987243799999</v>
      </c>
      <c r="I131" s="149">
        <v>10152</v>
      </c>
      <c r="J131" s="136">
        <f>I131*$J$1</f>
        <v>1015.2</v>
      </c>
      <c r="K131" s="136">
        <v>0</v>
      </c>
      <c r="L131" s="139"/>
      <c r="M131" s="139"/>
      <c r="N131" s="136"/>
      <c r="O131" s="11"/>
      <c r="P131" s="136"/>
      <c r="Q131" s="140"/>
      <c r="R131" s="136"/>
      <c r="S131" s="136"/>
      <c r="T131" s="136"/>
      <c r="U131" s="136">
        <f aca="true" t="shared" si="34" ref="U131:U140">H131+J131+K131+N131+P131+R131+S131+T131</f>
        <v>4436.187243799999</v>
      </c>
    </row>
    <row r="132" spans="1:21" ht="15" outlineLevel="2">
      <c r="A132" s="6" t="s">
        <v>189</v>
      </c>
      <c r="B132" s="7" t="s">
        <v>78</v>
      </c>
      <c r="C132" s="7" t="s">
        <v>178</v>
      </c>
      <c r="D132" s="7" t="s">
        <v>190</v>
      </c>
      <c r="E132" s="42" t="s">
        <v>186</v>
      </c>
      <c r="F132" s="39" t="s">
        <v>53</v>
      </c>
      <c r="G132" s="24" t="s">
        <v>63</v>
      </c>
      <c r="H132" s="136">
        <v>1093.7516674</v>
      </c>
      <c r="I132" s="149">
        <v>308</v>
      </c>
      <c r="J132" s="136">
        <f aca="true" t="shared" si="35" ref="J132:J137">I132*$J$2</f>
        <v>18.48</v>
      </c>
      <c r="K132" s="136">
        <v>0</v>
      </c>
      <c r="L132" s="139"/>
      <c r="M132" s="139"/>
      <c r="N132" s="136"/>
      <c r="O132" s="11"/>
      <c r="P132" s="136"/>
      <c r="Q132" s="140"/>
      <c r="R132" s="136"/>
      <c r="S132" s="136"/>
      <c r="T132" s="136"/>
      <c r="U132" s="136">
        <f t="shared" si="34"/>
        <v>1112.2316674</v>
      </c>
    </row>
    <row r="133" spans="1:21" ht="15" outlineLevel="2">
      <c r="A133" s="6" t="s">
        <v>189</v>
      </c>
      <c r="B133" s="7" t="s">
        <v>78</v>
      </c>
      <c r="C133" s="7" t="s">
        <v>178</v>
      </c>
      <c r="D133" s="7" t="s">
        <v>190</v>
      </c>
      <c r="E133" s="42" t="s">
        <v>186</v>
      </c>
      <c r="F133" s="39" t="s">
        <v>53</v>
      </c>
      <c r="G133" s="24" t="s">
        <v>64</v>
      </c>
      <c r="H133" s="136">
        <v>1535.7869002</v>
      </c>
      <c r="I133" s="149">
        <v>1121</v>
      </c>
      <c r="J133" s="136">
        <f t="shared" si="35"/>
        <v>67.25999999999999</v>
      </c>
      <c r="K133" s="136">
        <v>0</v>
      </c>
      <c r="L133" s="139"/>
      <c r="M133" s="139"/>
      <c r="N133" s="136"/>
      <c r="O133" s="11"/>
      <c r="P133" s="136"/>
      <c r="Q133" s="140"/>
      <c r="R133" s="136"/>
      <c r="S133" s="136"/>
      <c r="T133" s="136"/>
      <c r="U133" s="136">
        <f t="shared" si="34"/>
        <v>1603.0469002</v>
      </c>
    </row>
    <row r="134" spans="1:21" ht="15" outlineLevel="2">
      <c r="A134" s="6" t="s">
        <v>189</v>
      </c>
      <c r="B134" s="7" t="s">
        <v>78</v>
      </c>
      <c r="C134" s="7" t="s">
        <v>178</v>
      </c>
      <c r="D134" s="7" t="s">
        <v>190</v>
      </c>
      <c r="E134" s="42" t="s">
        <v>186</v>
      </c>
      <c r="F134" s="39" t="s">
        <v>53</v>
      </c>
      <c r="G134" s="24" t="s">
        <v>65</v>
      </c>
      <c r="H134" s="136">
        <v>515.339713</v>
      </c>
      <c r="I134" s="149">
        <v>665</v>
      </c>
      <c r="J134" s="136">
        <f t="shared" si="35"/>
        <v>39.9</v>
      </c>
      <c r="K134" s="136">
        <v>60</v>
      </c>
      <c r="L134" s="139"/>
      <c r="M134" s="139"/>
      <c r="N134" s="136"/>
      <c r="O134" s="11"/>
      <c r="P134" s="136"/>
      <c r="Q134" s="140"/>
      <c r="R134" s="136"/>
      <c r="S134" s="136"/>
      <c r="T134" s="136"/>
      <c r="U134" s="136">
        <f t="shared" si="34"/>
        <v>615.2397129999999</v>
      </c>
    </row>
    <row r="135" spans="1:21" ht="15" outlineLevel="2">
      <c r="A135" s="6" t="s">
        <v>189</v>
      </c>
      <c r="B135" s="7" t="s">
        <v>78</v>
      </c>
      <c r="C135" s="7" t="s">
        <v>178</v>
      </c>
      <c r="D135" s="7" t="s">
        <v>190</v>
      </c>
      <c r="E135" s="42" t="s">
        <v>186</v>
      </c>
      <c r="F135" s="39" t="s">
        <v>53</v>
      </c>
      <c r="G135" s="24" t="s">
        <v>66</v>
      </c>
      <c r="H135" s="136">
        <v>1433.2977847999998</v>
      </c>
      <c r="I135" s="149">
        <v>1371</v>
      </c>
      <c r="J135" s="136">
        <f t="shared" si="35"/>
        <v>82.25999999999999</v>
      </c>
      <c r="K135" s="136">
        <v>120</v>
      </c>
      <c r="L135" s="139"/>
      <c r="M135" s="139"/>
      <c r="N135" s="136"/>
      <c r="O135" s="11"/>
      <c r="P135" s="136"/>
      <c r="Q135" s="140"/>
      <c r="R135" s="136"/>
      <c r="S135" s="136"/>
      <c r="T135" s="136"/>
      <c r="U135" s="136">
        <f t="shared" si="34"/>
        <v>1635.5577847999998</v>
      </c>
    </row>
    <row r="136" spans="1:21" ht="15" outlineLevel="2">
      <c r="A136" s="6" t="s">
        <v>189</v>
      </c>
      <c r="B136" s="7" t="s">
        <v>78</v>
      </c>
      <c r="C136" s="7" t="s">
        <v>178</v>
      </c>
      <c r="D136" s="7" t="s">
        <v>190</v>
      </c>
      <c r="E136" s="42" t="s">
        <v>186</v>
      </c>
      <c r="F136" s="39" t="s">
        <v>53</v>
      </c>
      <c r="G136" s="24" t="s">
        <v>167</v>
      </c>
      <c r="H136" s="136">
        <v>0.5903617999999999</v>
      </c>
      <c r="I136" s="149">
        <v>1</v>
      </c>
      <c r="J136" s="136">
        <f t="shared" si="35"/>
        <v>0.06</v>
      </c>
      <c r="K136" s="136">
        <v>0</v>
      </c>
      <c r="L136" s="139"/>
      <c r="M136" s="139"/>
      <c r="N136" s="136"/>
      <c r="O136" s="11"/>
      <c r="P136" s="136"/>
      <c r="Q136" s="140"/>
      <c r="R136" s="136"/>
      <c r="S136" s="136"/>
      <c r="T136" s="136"/>
      <c r="U136" s="136">
        <f t="shared" si="34"/>
        <v>0.6503618</v>
      </c>
    </row>
    <row r="137" spans="1:21" ht="15" outlineLevel="2">
      <c r="A137" s="6" t="s">
        <v>189</v>
      </c>
      <c r="B137" s="7" t="s">
        <v>78</v>
      </c>
      <c r="C137" s="7" t="s">
        <v>178</v>
      </c>
      <c r="D137" s="7" t="s">
        <v>190</v>
      </c>
      <c r="E137" s="42" t="s">
        <v>186</v>
      </c>
      <c r="F137" s="39" t="s">
        <v>53</v>
      </c>
      <c r="G137" s="24" t="s">
        <v>90</v>
      </c>
      <c r="H137" s="136">
        <v>21.297065999999997</v>
      </c>
      <c r="I137" s="149">
        <v>78</v>
      </c>
      <c r="J137" s="136">
        <f t="shared" si="35"/>
        <v>4.68</v>
      </c>
      <c r="K137" s="136">
        <v>0</v>
      </c>
      <c r="L137" s="139"/>
      <c r="M137" s="139"/>
      <c r="N137" s="136"/>
      <c r="O137" s="11"/>
      <c r="P137" s="136"/>
      <c r="Q137" s="140"/>
      <c r="R137" s="136"/>
      <c r="S137" s="136"/>
      <c r="T137" s="136"/>
      <c r="U137" s="136">
        <f t="shared" si="34"/>
        <v>25.977065999999997</v>
      </c>
    </row>
    <row r="138" spans="1:21" ht="15" outlineLevel="2">
      <c r="A138" s="6" t="s">
        <v>189</v>
      </c>
      <c r="B138" s="7" t="s">
        <v>78</v>
      </c>
      <c r="C138" s="7" t="s">
        <v>178</v>
      </c>
      <c r="D138" s="7" t="s">
        <v>190</v>
      </c>
      <c r="E138" s="42" t="s">
        <v>186</v>
      </c>
      <c r="F138" s="39" t="s">
        <v>585</v>
      </c>
      <c r="G138" s="16" t="s">
        <v>585</v>
      </c>
      <c r="H138" s="136"/>
      <c r="I138" s="149"/>
      <c r="J138" s="136"/>
      <c r="K138" s="136"/>
      <c r="L138" s="139">
        <v>1</v>
      </c>
      <c r="M138" s="139">
        <v>1</v>
      </c>
      <c r="N138" s="136">
        <f>L138*M138*$N$2</f>
        <v>3135</v>
      </c>
      <c r="O138" s="11"/>
      <c r="P138" s="136"/>
      <c r="Q138" s="140"/>
      <c r="R138" s="136"/>
      <c r="S138" s="136"/>
      <c r="T138" s="136"/>
      <c r="U138" s="136">
        <f t="shared" si="34"/>
        <v>3135</v>
      </c>
    </row>
    <row r="139" spans="1:21" ht="15" outlineLevel="2">
      <c r="A139" s="28" t="s">
        <v>189</v>
      </c>
      <c r="B139" s="11" t="str">
        <f aca="true" t="shared" si="36" ref="B139:E140">B138</f>
        <v>DCHS</v>
      </c>
      <c r="C139" s="11" t="str">
        <f t="shared" si="36"/>
        <v>ADS</v>
      </c>
      <c r="D139" s="13" t="str">
        <f t="shared" si="36"/>
        <v>ADSDIVLTCNNEDXIX</v>
      </c>
      <c r="E139" s="38" t="str">
        <f t="shared" si="36"/>
        <v>30-55</v>
      </c>
      <c r="F139" s="20" t="s">
        <v>615</v>
      </c>
      <c r="G139" s="11" t="s">
        <v>615</v>
      </c>
      <c r="H139" s="136"/>
      <c r="I139" s="140"/>
      <c r="J139" s="136"/>
      <c r="K139" s="136"/>
      <c r="L139" s="139"/>
      <c r="M139" s="139"/>
      <c r="N139" s="136"/>
      <c r="O139" s="29">
        <f>0.75+0.5</f>
        <v>1.25</v>
      </c>
      <c r="P139" s="136">
        <f>O139*$P$2</f>
        <v>90</v>
      </c>
      <c r="Q139" s="140"/>
      <c r="R139" s="136"/>
      <c r="S139" s="136"/>
      <c r="T139" s="136"/>
      <c r="U139" s="136">
        <f t="shared" si="34"/>
        <v>90</v>
      </c>
    </row>
    <row r="140" spans="1:21" ht="15" outlineLevel="2">
      <c r="A140" s="36" t="s">
        <v>643</v>
      </c>
      <c r="B140" s="11" t="str">
        <f t="shared" si="36"/>
        <v>DCHS</v>
      </c>
      <c r="C140" s="11" t="str">
        <f t="shared" si="36"/>
        <v>ADS</v>
      </c>
      <c r="D140" s="13" t="str">
        <f t="shared" si="36"/>
        <v>ADSDIVLTCNNEDXIX</v>
      </c>
      <c r="E140" s="27" t="str">
        <f t="shared" si="36"/>
        <v>30-55</v>
      </c>
      <c r="F140" s="20" t="s">
        <v>683</v>
      </c>
      <c r="G140" s="11" t="s">
        <v>683</v>
      </c>
      <c r="H140" s="136"/>
      <c r="I140" s="140"/>
      <c r="J140" s="136"/>
      <c r="K140" s="136"/>
      <c r="L140" s="139"/>
      <c r="M140" s="139"/>
      <c r="N140" s="136"/>
      <c r="O140" s="34"/>
      <c r="P140" s="136"/>
      <c r="Q140" s="140"/>
      <c r="R140" s="136"/>
      <c r="S140" s="136"/>
      <c r="T140" s="150">
        <v>6.56</v>
      </c>
      <c r="U140" s="136">
        <f t="shared" si="34"/>
        <v>6.56</v>
      </c>
    </row>
    <row r="141" spans="1:21" s="5" customFormat="1" ht="15.75">
      <c r="A141" s="50" t="s">
        <v>786</v>
      </c>
      <c r="B141" s="49"/>
      <c r="C141" s="2"/>
      <c r="D141" s="61"/>
      <c r="E141" s="44"/>
      <c r="F141" s="51"/>
      <c r="G141" s="45"/>
      <c r="H141" s="137">
        <f aca="true" t="shared" si="37" ref="H141:U141">SUBTOTAL(9,H131:H140)</f>
        <v>8021.050737</v>
      </c>
      <c r="I141" s="167">
        <f t="shared" si="37"/>
        <v>13696</v>
      </c>
      <c r="J141" s="137">
        <f t="shared" si="37"/>
        <v>1227.8400000000001</v>
      </c>
      <c r="K141" s="137">
        <f t="shared" si="37"/>
        <v>180</v>
      </c>
      <c r="L141" s="141">
        <f t="shared" si="37"/>
        <v>1</v>
      </c>
      <c r="M141" s="141">
        <f t="shared" si="37"/>
        <v>1</v>
      </c>
      <c r="N141" s="137">
        <f t="shared" si="37"/>
        <v>3135</v>
      </c>
      <c r="O141" s="169">
        <f t="shared" si="37"/>
        <v>1.25</v>
      </c>
      <c r="P141" s="137">
        <f t="shared" si="37"/>
        <v>90</v>
      </c>
      <c r="Q141" s="167">
        <f t="shared" si="37"/>
        <v>0</v>
      </c>
      <c r="R141" s="137">
        <f t="shared" si="37"/>
        <v>0</v>
      </c>
      <c r="S141" s="137">
        <f t="shared" si="37"/>
        <v>0</v>
      </c>
      <c r="T141" s="137">
        <f t="shared" si="37"/>
        <v>6.56</v>
      </c>
      <c r="U141" s="137">
        <f t="shared" si="37"/>
        <v>12660.450737</v>
      </c>
    </row>
    <row r="142" spans="1:21" ht="15" outlineLevel="2">
      <c r="A142" s="6" t="s">
        <v>191</v>
      </c>
      <c r="B142" s="7" t="s">
        <v>78</v>
      </c>
      <c r="C142" s="7" t="s">
        <v>178</v>
      </c>
      <c r="D142" s="7" t="s">
        <v>192</v>
      </c>
      <c r="E142" s="42" t="s">
        <v>186</v>
      </c>
      <c r="F142" s="39" t="s">
        <v>53</v>
      </c>
      <c r="G142" s="24" t="s">
        <v>62</v>
      </c>
      <c r="H142" s="136">
        <v>2136.931454</v>
      </c>
      <c r="I142" s="149">
        <v>6386</v>
      </c>
      <c r="J142" s="136">
        <f>I142*$J$1</f>
        <v>638.6</v>
      </c>
      <c r="K142" s="136">
        <v>15</v>
      </c>
      <c r="L142" s="139"/>
      <c r="M142" s="139"/>
      <c r="N142" s="136"/>
      <c r="O142" s="11"/>
      <c r="P142" s="136"/>
      <c r="Q142" s="140"/>
      <c r="R142" s="136"/>
      <c r="S142" s="136"/>
      <c r="T142" s="136"/>
      <c r="U142" s="136">
        <f aca="true" t="shared" si="38" ref="U142:U151">H142+J142+K142+N142+P142+R142+S142+T142</f>
        <v>2790.531454</v>
      </c>
    </row>
    <row r="143" spans="1:21" ht="15" outlineLevel="2">
      <c r="A143" s="6" t="s">
        <v>191</v>
      </c>
      <c r="B143" s="7" t="s">
        <v>78</v>
      </c>
      <c r="C143" s="7" t="s">
        <v>178</v>
      </c>
      <c r="D143" s="7" t="s">
        <v>192</v>
      </c>
      <c r="E143" s="42" t="s">
        <v>186</v>
      </c>
      <c r="F143" s="39" t="s">
        <v>53</v>
      </c>
      <c r="G143" s="24" t="s">
        <v>63</v>
      </c>
      <c r="H143" s="136">
        <v>1717.3163378000008</v>
      </c>
      <c r="I143" s="149">
        <v>535</v>
      </c>
      <c r="J143" s="136">
        <f aca="true" t="shared" si="39" ref="J143:J148">I143*$J$2</f>
        <v>32.1</v>
      </c>
      <c r="K143" s="136">
        <v>0</v>
      </c>
      <c r="L143" s="139"/>
      <c r="M143" s="139"/>
      <c r="N143" s="136"/>
      <c r="O143" s="11"/>
      <c r="P143" s="136"/>
      <c r="Q143" s="140"/>
      <c r="R143" s="136"/>
      <c r="S143" s="136"/>
      <c r="T143" s="136"/>
      <c r="U143" s="136">
        <f t="shared" si="38"/>
        <v>1749.4163378000007</v>
      </c>
    </row>
    <row r="144" spans="1:21" ht="15" outlineLevel="2">
      <c r="A144" s="6" t="s">
        <v>191</v>
      </c>
      <c r="B144" s="7" t="s">
        <v>78</v>
      </c>
      <c r="C144" s="7" t="s">
        <v>178</v>
      </c>
      <c r="D144" s="7" t="s">
        <v>192</v>
      </c>
      <c r="E144" s="42" t="s">
        <v>186</v>
      </c>
      <c r="F144" s="39" t="s">
        <v>53</v>
      </c>
      <c r="G144" s="24" t="s">
        <v>64</v>
      </c>
      <c r="H144" s="136">
        <v>4234.3747292</v>
      </c>
      <c r="I144" s="149">
        <v>3270</v>
      </c>
      <c r="J144" s="136">
        <f t="shared" si="39"/>
        <v>196.2</v>
      </c>
      <c r="K144" s="136">
        <v>0</v>
      </c>
      <c r="L144" s="139"/>
      <c r="M144" s="139"/>
      <c r="N144" s="136"/>
      <c r="O144" s="11"/>
      <c r="P144" s="136"/>
      <c r="Q144" s="140"/>
      <c r="R144" s="136"/>
      <c r="S144" s="136"/>
      <c r="T144" s="136"/>
      <c r="U144" s="136">
        <f t="shared" si="38"/>
        <v>4430.5747292</v>
      </c>
    </row>
    <row r="145" spans="1:21" ht="15" outlineLevel="2">
      <c r="A145" s="6" t="s">
        <v>191</v>
      </c>
      <c r="B145" s="7" t="s">
        <v>78</v>
      </c>
      <c r="C145" s="7" t="s">
        <v>178</v>
      </c>
      <c r="D145" s="7" t="s">
        <v>192</v>
      </c>
      <c r="E145" s="42" t="s">
        <v>186</v>
      </c>
      <c r="F145" s="39" t="s">
        <v>53</v>
      </c>
      <c r="G145" s="24" t="s">
        <v>65</v>
      </c>
      <c r="H145" s="136">
        <v>2035.6817838000015</v>
      </c>
      <c r="I145" s="149">
        <v>4431</v>
      </c>
      <c r="J145" s="136">
        <f t="shared" si="39"/>
        <v>265.86</v>
      </c>
      <c r="K145" s="136">
        <v>75</v>
      </c>
      <c r="L145" s="139"/>
      <c r="M145" s="139"/>
      <c r="N145" s="136"/>
      <c r="O145" s="11"/>
      <c r="P145" s="136"/>
      <c r="Q145" s="140"/>
      <c r="R145" s="136"/>
      <c r="S145" s="136"/>
      <c r="T145" s="136"/>
      <c r="U145" s="136">
        <f t="shared" si="38"/>
        <v>2376.5417838000017</v>
      </c>
    </row>
    <row r="146" spans="1:21" ht="15" outlineLevel="2">
      <c r="A146" s="6" t="s">
        <v>191</v>
      </c>
      <c r="B146" s="7" t="s">
        <v>78</v>
      </c>
      <c r="C146" s="7" t="s">
        <v>178</v>
      </c>
      <c r="D146" s="7" t="s">
        <v>192</v>
      </c>
      <c r="E146" s="42" t="s">
        <v>186</v>
      </c>
      <c r="F146" s="39" t="s">
        <v>53</v>
      </c>
      <c r="G146" s="24" t="s">
        <v>66</v>
      </c>
      <c r="H146" s="136">
        <v>2129.6269064000003</v>
      </c>
      <c r="I146" s="149">
        <v>1966</v>
      </c>
      <c r="J146" s="136">
        <f t="shared" si="39"/>
        <v>117.96</v>
      </c>
      <c r="K146" s="136">
        <v>75</v>
      </c>
      <c r="L146" s="139"/>
      <c r="M146" s="139"/>
      <c r="N146" s="136"/>
      <c r="O146" s="11"/>
      <c r="P146" s="136"/>
      <c r="Q146" s="140"/>
      <c r="R146" s="136"/>
      <c r="S146" s="136"/>
      <c r="T146" s="136"/>
      <c r="U146" s="136">
        <f t="shared" si="38"/>
        <v>2322.5869064000003</v>
      </c>
    </row>
    <row r="147" spans="1:21" ht="15" outlineLevel="2">
      <c r="A147" s="6" t="s">
        <v>191</v>
      </c>
      <c r="B147" s="7" t="s">
        <v>78</v>
      </c>
      <c r="C147" s="7" t="s">
        <v>178</v>
      </c>
      <c r="D147" s="7" t="s">
        <v>192</v>
      </c>
      <c r="E147" s="42" t="s">
        <v>186</v>
      </c>
      <c r="F147" s="39" t="s">
        <v>53</v>
      </c>
      <c r="G147" s="24" t="s">
        <v>167</v>
      </c>
      <c r="H147" s="136">
        <v>1.0486</v>
      </c>
      <c r="I147" s="149">
        <v>1</v>
      </c>
      <c r="J147" s="136">
        <f t="shared" si="39"/>
        <v>0.06</v>
      </c>
      <c r="K147" s="136">
        <v>0</v>
      </c>
      <c r="L147" s="139"/>
      <c r="M147" s="139"/>
      <c r="N147" s="136"/>
      <c r="O147" s="11"/>
      <c r="P147" s="136"/>
      <c r="Q147" s="140"/>
      <c r="R147" s="136"/>
      <c r="S147" s="136"/>
      <c r="T147" s="136"/>
      <c r="U147" s="136">
        <f t="shared" si="38"/>
        <v>1.1086</v>
      </c>
    </row>
    <row r="148" spans="1:21" ht="15" outlineLevel="2">
      <c r="A148" s="6" t="s">
        <v>191</v>
      </c>
      <c r="B148" s="7" t="s">
        <v>78</v>
      </c>
      <c r="C148" s="7" t="s">
        <v>178</v>
      </c>
      <c r="D148" s="7" t="s">
        <v>192</v>
      </c>
      <c r="E148" s="42" t="s">
        <v>186</v>
      </c>
      <c r="F148" s="39" t="s">
        <v>53</v>
      </c>
      <c r="G148" s="24" t="s">
        <v>90</v>
      </c>
      <c r="H148" s="136">
        <v>3.848362</v>
      </c>
      <c r="I148" s="149">
        <v>14</v>
      </c>
      <c r="J148" s="136">
        <f t="shared" si="39"/>
        <v>0.84</v>
      </c>
      <c r="K148" s="136">
        <v>15</v>
      </c>
      <c r="L148" s="139"/>
      <c r="M148" s="139"/>
      <c r="N148" s="136"/>
      <c r="O148" s="11"/>
      <c r="P148" s="136"/>
      <c r="Q148" s="140"/>
      <c r="R148" s="136"/>
      <c r="S148" s="136"/>
      <c r="T148" s="136"/>
      <c r="U148" s="136">
        <f t="shared" si="38"/>
        <v>19.688361999999998</v>
      </c>
    </row>
    <row r="149" spans="1:21" ht="15" outlineLevel="2">
      <c r="A149" s="6" t="s">
        <v>191</v>
      </c>
      <c r="B149" s="7" t="s">
        <v>78</v>
      </c>
      <c r="C149" s="7" t="s">
        <v>178</v>
      </c>
      <c r="D149" s="7" t="s">
        <v>192</v>
      </c>
      <c r="E149" s="42" t="s">
        <v>186</v>
      </c>
      <c r="F149" s="39" t="s">
        <v>585</v>
      </c>
      <c r="G149" s="16" t="s">
        <v>585</v>
      </c>
      <c r="H149" s="136"/>
      <c r="I149" s="149"/>
      <c r="J149" s="136"/>
      <c r="K149" s="136"/>
      <c r="L149" s="139">
        <v>1</v>
      </c>
      <c r="M149" s="139">
        <v>0.5</v>
      </c>
      <c r="N149" s="136">
        <f>L149*M149*$N$2</f>
        <v>1567.5</v>
      </c>
      <c r="O149" s="11"/>
      <c r="P149" s="136"/>
      <c r="Q149" s="140"/>
      <c r="R149" s="136"/>
      <c r="S149" s="136"/>
      <c r="T149" s="136"/>
      <c r="U149" s="136">
        <f t="shared" si="38"/>
        <v>1567.5</v>
      </c>
    </row>
    <row r="150" spans="1:21" ht="15" outlineLevel="2">
      <c r="A150" s="28" t="s">
        <v>191</v>
      </c>
      <c r="B150" s="11" t="str">
        <f aca="true" t="shared" si="40" ref="B150:E151">B149</f>
        <v>DCHS</v>
      </c>
      <c r="C150" s="11" t="str">
        <f t="shared" si="40"/>
        <v>ADS</v>
      </c>
      <c r="D150" s="13" t="str">
        <f t="shared" si="40"/>
        <v>ADSDIVLTCSEDXIX</v>
      </c>
      <c r="E150" s="38" t="str">
        <f t="shared" si="40"/>
        <v>30-55</v>
      </c>
      <c r="F150" s="20" t="s">
        <v>615</v>
      </c>
      <c r="G150" s="11" t="s">
        <v>615</v>
      </c>
      <c r="H150" s="136"/>
      <c r="I150" s="140"/>
      <c r="J150" s="136"/>
      <c r="K150" s="136"/>
      <c r="L150" s="139"/>
      <c r="M150" s="139"/>
      <c r="N150" s="136"/>
      <c r="O150" s="29">
        <f>2+3.25</f>
        <v>5.25</v>
      </c>
      <c r="P150" s="136">
        <f>O150*$P$2</f>
        <v>378</v>
      </c>
      <c r="Q150" s="140"/>
      <c r="R150" s="136"/>
      <c r="S150" s="136"/>
      <c r="T150" s="136"/>
      <c r="U150" s="136">
        <f t="shared" si="38"/>
        <v>378</v>
      </c>
    </row>
    <row r="151" spans="1:21" ht="15" outlineLevel="2">
      <c r="A151" s="36" t="s">
        <v>644</v>
      </c>
      <c r="B151" s="11" t="str">
        <f t="shared" si="40"/>
        <v>DCHS</v>
      </c>
      <c r="C151" s="11" t="str">
        <f t="shared" si="40"/>
        <v>ADS</v>
      </c>
      <c r="D151" s="13" t="str">
        <f t="shared" si="40"/>
        <v>ADSDIVLTCSEDXIX</v>
      </c>
      <c r="E151" s="27" t="str">
        <f t="shared" si="40"/>
        <v>30-55</v>
      </c>
      <c r="F151" s="20" t="s">
        <v>683</v>
      </c>
      <c r="G151" s="11" t="s">
        <v>683</v>
      </c>
      <c r="H151" s="136"/>
      <c r="I151" s="140"/>
      <c r="J151" s="136"/>
      <c r="K151" s="136"/>
      <c r="L151" s="139"/>
      <c r="M151" s="139"/>
      <c r="N151" s="136"/>
      <c r="O151" s="34"/>
      <c r="P151" s="136"/>
      <c r="Q151" s="140"/>
      <c r="R151" s="136"/>
      <c r="S151" s="136"/>
      <c r="T151" s="150">
        <v>9.84</v>
      </c>
      <c r="U151" s="136">
        <f t="shared" si="38"/>
        <v>9.84</v>
      </c>
    </row>
    <row r="152" spans="1:21" s="5" customFormat="1" ht="15.75">
      <c r="A152" s="50" t="s">
        <v>787</v>
      </c>
      <c r="B152" s="49"/>
      <c r="C152" s="2"/>
      <c r="D152" s="61"/>
      <c r="E152" s="44"/>
      <c r="F152" s="51"/>
      <c r="G152" s="45"/>
      <c r="H152" s="137">
        <f aca="true" t="shared" si="41" ref="H152:U152">SUBTOTAL(9,H142:H151)</f>
        <v>12258.828173200005</v>
      </c>
      <c r="I152" s="167">
        <f t="shared" si="41"/>
        <v>16603</v>
      </c>
      <c r="J152" s="137">
        <f t="shared" si="41"/>
        <v>1251.6200000000001</v>
      </c>
      <c r="K152" s="137">
        <f t="shared" si="41"/>
        <v>180</v>
      </c>
      <c r="L152" s="141">
        <f t="shared" si="41"/>
        <v>1</v>
      </c>
      <c r="M152" s="141">
        <f t="shared" si="41"/>
        <v>0.5</v>
      </c>
      <c r="N152" s="137">
        <f t="shared" si="41"/>
        <v>1567.5</v>
      </c>
      <c r="O152" s="169">
        <f t="shared" si="41"/>
        <v>5.25</v>
      </c>
      <c r="P152" s="137">
        <f t="shared" si="41"/>
        <v>378</v>
      </c>
      <c r="Q152" s="167">
        <f t="shared" si="41"/>
        <v>0</v>
      </c>
      <c r="R152" s="137">
        <f t="shared" si="41"/>
        <v>0</v>
      </c>
      <c r="S152" s="137">
        <f t="shared" si="41"/>
        <v>0</v>
      </c>
      <c r="T152" s="137">
        <f t="shared" si="41"/>
        <v>9.84</v>
      </c>
      <c r="U152" s="137">
        <f t="shared" si="41"/>
        <v>15645.788173200002</v>
      </c>
    </row>
    <row r="153" spans="1:21" ht="15" outlineLevel="2">
      <c r="A153" s="6" t="s">
        <v>193</v>
      </c>
      <c r="B153" s="7" t="s">
        <v>78</v>
      </c>
      <c r="C153" s="7" t="s">
        <v>178</v>
      </c>
      <c r="D153" s="7" t="s">
        <v>194</v>
      </c>
      <c r="E153" s="42" t="s">
        <v>195</v>
      </c>
      <c r="F153" s="39" t="s">
        <v>53</v>
      </c>
      <c r="G153" s="24" t="s">
        <v>62</v>
      </c>
      <c r="H153" s="136">
        <v>595.2262554000002</v>
      </c>
      <c r="I153" s="149">
        <v>1732</v>
      </c>
      <c r="J153" s="136">
        <f>I153*$J$1</f>
        <v>173.20000000000002</v>
      </c>
      <c r="K153" s="136">
        <v>120</v>
      </c>
      <c r="L153" s="139"/>
      <c r="M153" s="139"/>
      <c r="N153" s="136"/>
      <c r="O153" s="11"/>
      <c r="P153" s="136"/>
      <c r="Q153" s="140"/>
      <c r="R153" s="136"/>
      <c r="S153" s="136"/>
      <c r="T153" s="136"/>
      <c r="U153" s="136">
        <f aca="true" t="shared" si="42" ref="U153:U158">H153+J153+K153+N153+P153+R153+S153+T153</f>
        <v>888.4262554000003</v>
      </c>
    </row>
    <row r="154" spans="1:21" ht="15" outlineLevel="2">
      <c r="A154" s="6" t="s">
        <v>193</v>
      </c>
      <c r="B154" s="7" t="s">
        <v>78</v>
      </c>
      <c r="C154" s="7" t="s">
        <v>178</v>
      </c>
      <c r="D154" s="7" t="s">
        <v>194</v>
      </c>
      <c r="E154" s="42" t="s">
        <v>195</v>
      </c>
      <c r="F154" s="39" t="s">
        <v>53</v>
      </c>
      <c r="G154" s="24" t="s">
        <v>63</v>
      </c>
      <c r="H154" s="136">
        <v>110.56438399999999</v>
      </c>
      <c r="I154" s="149">
        <v>31</v>
      </c>
      <c r="J154" s="136">
        <f>I154*$J$2</f>
        <v>1.8599999999999999</v>
      </c>
      <c r="K154" s="136">
        <v>15</v>
      </c>
      <c r="L154" s="139"/>
      <c r="M154" s="139"/>
      <c r="N154" s="136"/>
      <c r="O154" s="11"/>
      <c r="P154" s="136"/>
      <c r="Q154" s="140"/>
      <c r="R154" s="136"/>
      <c r="S154" s="136"/>
      <c r="T154" s="136"/>
      <c r="U154" s="136">
        <f t="shared" si="42"/>
        <v>127.42438399999999</v>
      </c>
    </row>
    <row r="155" spans="1:21" ht="15" outlineLevel="2">
      <c r="A155" s="6" t="s">
        <v>193</v>
      </c>
      <c r="B155" s="7" t="s">
        <v>78</v>
      </c>
      <c r="C155" s="7" t="s">
        <v>178</v>
      </c>
      <c r="D155" s="7" t="s">
        <v>194</v>
      </c>
      <c r="E155" s="42" t="s">
        <v>195</v>
      </c>
      <c r="F155" s="39" t="s">
        <v>53</v>
      </c>
      <c r="G155" s="24" t="s">
        <v>64</v>
      </c>
      <c r="H155" s="136">
        <v>123.63832880000001</v>
      </c>
      <c r="I155" s="149">
        <v>90</v>
      </c>
      <c r="J155" s="136">
        <f>I155*$J$2</f>
        <v>5.3999999999999995</v>
      </c>
      <c r="K155" s="136">
        <v>0</v>
      </c>
      <c r="L155" s="139"/>
      <c r="M155" s="139"/>
      <c r="N155" s="136"/>
      <c r="O155" s="11"/>
      <c r="P155" s="136"/>
      <c r="Q155" s="140"/>
      <c r="R155" s="136"/>
      <c r="S155" s="136"/>
      <c r="T155" s="136"/>
      <c r="U155" s="136">
        <f t="shared" si="42"/>
        <v>129.03832880000002</v>
      </c>
    </row>
    <row r="156" spans="1:21" ht="15" outlineLevel="2">
      <c r="A156" s="6" t="s">
        <v>193</v>
      </c>
      <c r="B156" s="7" t="s">
        <v>78</v>
      </c>
      <c r="C156" s="7" t="s">
        <v>178</v>
      </c>
      <c r="D156" s="7" t="s">
        <v>194</v>
      </c>
      <c r="E156" s="42" t="s">
        <v>195</v>
      </c>
      <c r="F156" s="39" t="s">
        <v>53</v>
      </c>
      <c r="G156" s="24" t="s">
        <v>65</v>
      </c>
      <c r="H156" s="136">
        <v>50.25310639999999</v>
      </c>
      <c r="I156" s="149">
        <v>104</v>
      </c>
      <c r="J156" s="136">
        <f>I156*$J$2</f>
        <v>6.24</v>
      </c>
      <c r="K156" s="136">
        <v>0</v>
      </c>
      <c r="L156" s="139"/>
      <c r="M156" s="139"/>
      <c r="N156" s="136"/>
      <c r="O156" s="11"/>
      <c r="P156" s="136"/>
      <c r="Q156" s="140"/>
      <c r="R156" s="136"/>
      <c r="S156" s="136"/>
      <c r="T156" s="136"/>
      <c r="U156" s="136">
        <f t="shared" si="42"/>
        <v>56.493106399999995</v>
      </c>
    </row>
    <row r="157" spans="1:21" ht="15" outlineLevel="2">
      <c r="A157" s="6" t="s">
        <v>193</v>
      </c>
      <c r="B157" s="7" t="s">
        <v>78</v>
      </c>
      <c r="C157" s="7" t="s">
        <v>178</v>
      </c>
      <c r="D157" s="7" t="s">
        <v>194</v>
      </c>
      <c r="E157" s="42" t="s">
        <v>195</v>
      </c>
      <c r="F157" s="39" t="s">
        <v>53</v>
      </c>
      <c r="G157" s="24" t="s">
        <v>66</v>
      </c>
      <c r="H157" s="136">
        <v>60.677239</v>
      </c>
      <c r="I157" s="149">
        <v>57</v>
      </c>
      <c r="J157" s="136">
        <f>I157*$J$2</f>
        <v>3.42</v>
      </c>
      <c r="K157" s="136">
        <v>45</v>
      </c>
      <c r="L157" s="139"/>
      <c r="M157" s="139"/>
      <c r="N157" s="136"/>
      <c r="O157" s="11"/>
      <c r="P157" s="136"/>
      <c r="Q157" s="140"/>
      <c r="R157" s="136"/>
      <c r="S157" s="136"/>
      <c r="T157" s="136"/>
      <c r="U157" s="136">
        <f t="shared" si="42"/>
        <v>109.097239</v>
      </c>
    </row>
    <row r="158" spans="1:21" ht="15" outlineLevel="2">
      <c r="A158" s="36" t="s">
        <v>645</v>
      </c>
      <c r="B158" s="11" t="str">
        <f>B157</f>
        <v>DCHS</v>
      </c>
      <c r="C158" s="11" t="str">
        <f>C157</f>
        <v>ADS</v>
      </c>
      <c r="D158" s="13" t="str">
        <f>D157</f>
        <v>ADSDIVPGFEEGF</v>
      </c>
      <c r="E158" s="27" t="str">
        <f>E157</f>
        <v>30-65</v>
      </c>
      <c r="F158" s="20" t="s">
        <v>683</v>
      </c>
      <c r="G158" s="11" t="s">
        <v>683</v>
      </c>
      <c r="H158" s="136"/>
      <c r="I158" s="140"/>
      <c r="J158" s="136"/>
      <c r="K158" s="136"/>
      <c r="L158" s="139"/>
      <c r="M158" s="139"/>
      <c r="N158" s="136"/>
      <c r="O158" s="34"/>
      <c r="P158" s="136"/>
      <c r="Q158" s="140"/>
      <c r="R158" s="136"/>
      <c r="S158" s="136"/>
      <c r="T158" s="150">
        <f>29.04+8.25</f>
        <v>37.29</v>
      </c>
      <c r="U158" s="136">
        <f t="shared" si="42"/>
        <v>37.29</v>
      </c>
    </row>
    <row r="159" spans="1:21" s="5" customFormat="1" ht="15.75">
      <c r="A159" s="50" t="s">
        <v>788</v>
      </c>
      <c r="B159" s="49"/>
      <c r="C159" s="2"/>
      <c r="D159" s="61"/>
      <c r="E159" s="44"/>
      <c r="F159" s="51"/>
      <c r="G159" s="45"/>
      <c r="H159" s="137">
        <f aca="true" t="shared" si="43" ref="H159:U159">SUBTOTAL(9,H153:H158)</f>
        <v>940.3593136000003</v>
      </c>
      <c r="I159" s="167">
        <f t="shared" si="43"/>
        <v>2014</v>
      </c>
      <c r="J159" s="137">
        <f t="shared" si="43"/>
        <v>190.12000000000003</v>
      </c>
      <c r="K159" s="137">
        <f t="shared" si="43"/>
        <v>180</v>
      </c>
      <c r="L159" s="141">
        <f t="shared" si="43"/>
        <v>0</v>
      </c>
      <c r="M159" s="141">
        <f t="shared" si="43"/>
        <v>0</v>
      </c>
      <c r="N159" s="137">
        <f t="shared" si="43"/>
        <v>0</v>
      </c>
      <c r="O159" s="169">
        <f t="shared" si="43"/>
        <v>0</v>
      </c>
      <c r="P159" s="137">
        <f t="shared" si="43"/>
        <v>0</v>
      </c>
      <c r="Q159" s="167">
        <f t="shared" si="43"/>
        <v>0</v>
      </c>
      <c r="R159" s="137">
        <f t="shared" si="43"/>
        <v>0</v>
      </c>
      <c r="S159" s="137">
        <f t="shared" si="43"/>
        <v>0</v>
      </c>
      <c r="T159" s="137">
        <f t="shared" si="43"/>
        <v>37.29</v>
      </c>
      <c r="U159" s="137">
        <f t="shared" si="43"/>
        <v>1347.7693136000003</v>
      </c>
    </row>
    <row r="160" spans="1:21" ht="15" outlineLevel="2">
      <c r="A160" s="6" t="s">
        <v>196</v>
      </c>
      <c r="B160" s="7" t="s">
        <v>78</v>
      </c>
      <c r="C160" s="7" t="s">
        <v>178</v>
      </c>
      <c r="D160" s="7" t="s">
        <v>197</v>
      </c>
      <c r="E160" s="42" t="s">
        <v>198</v>
      </c>
      <c r="F160" s="39" t="s">
        <v>53</v>
      </c>
      <c r="G160" s="24" t="s">
        <v>62</v>
      </c>
      <c r="H160" s="136">
        <v>2184.6228306000007</v>
      </c>
      <c r="I160" s="149">
        <v>6493</v>
      </c>
      <c r="J160" s="136">
        <f>I160*$J$1</f>
        <v>649.3000000000001</v>
      </c>
      <c r="K160" s="136">
        <v>0</v>
      </c>
      <c r="L160" s="139"/>
      <c r="M160" s="139"/>
      <c r="N160" s="136"/>
      <c r="O160" s="11"/>
      <c r="P160" s="136"/>
      <c r="Q160" s="140"/>
      <c r="R160" s="136"/>
      <c r="S160" s="136"/>
      <c r="T160" s="136"/>
      <c r="U160" s="136">
        <f aca="true" t="shared" si="44" ref="U160:U167">H160+J160+K160+N160+P160+R160+S160+T160</f>
        <v>2833.922830600001</v>
      </c>
    </row>
    <row r="161" spans="1:21" ht="15" outlineLevel="2">
      <c r="A161" s="6" t="s">
        <v>196</v>
      </c>
      <c r="B161" s="7" t="s">
        <v>78</v>
      </c>
      <c r="C161" s="7" t="s">
        <v>178</v>
      </c>
      <c r="D161" s="7" t="s">
        <v>197</v>
      </c>
      <c r="E161" s="42" t="s">
        <v>198</v>
      </c>
      <c r="F161" s="39" t="s">
        <v>53</v>
      </c>
      <c r="G161" s="24" t="s">
        <v>63</v>
      </c>
      <c r="H161" s="136">
        <v>246.30670259999997</v>
      </c>
      <c r="I161" s="149">
        <v>113</v>
      </c>
      <c r="J161" s="136">
        <f>I161*$J$2</f>
        <v>6.779999999999999</v>
      </c>
      <c r="K161" s="136">
        <v>0</v>
      </c>
      <c r="L161" s="139"/>
      <c r="M161" s="139"/>
      <c r="N161" s="136"/>
      <c r="O161" s="11"/>
      <c r="P161" s="136"/>
      <c r="Q161" s="140"/>
      <c r="R161" s="136"/>
      <c r="S161" s="136"/>
      <c r="T161" s="136"/>
      <c r="U161" s="136">
        <f t="shared" si="44"/>
        <v>253.08670259999997</v>
      </c>
    </row>
    <row r="162" spans="1:21" ht="15" outlineLevel="2">
      <c r="A162" s="6" t="s">
        <v>196</v>
      </c>
      <c r="B162" s="7" t="s">
        <v>78</v>
      </c>
      <c r="C162" s="7" t="s">
        <v>178</v>
      </c>
      <c r="D162" s="7" t="s">
        <v>197</v>
      </c>
      <c r="E162" s="42" t="s">
        <v>198</v>
      </c>
      <c r="F162" s="39" t="s">
        <v>53</v>
      </c>
      <c r="G162" s="24" t="s">
        <v>64</v>
      </c>
      <c r="H162" s="136">
        <v>1428.1334298000002</v>
      </c>
      <c r="I162" s="149">
        <v>1078</v>
      </c>
      <c r="J162" s="136">
        <f>I162*$J$2</f>
        <v>64.67999999999999</v>
      </c>
      <c r="K162" s="136">
        <v>45</v>
      </c>
      <c r="L162" s="139"/>
      <c r="M162" s="139"/>
      <c r="N162" s="136"/>
      <c r="O162" s="11"/>
      <c r="P162" s="136"/>
      <c r="Q162" s="140"/>
      <c r="R162" s="136"/>
      <c r="S162" s="136"/>
      <c r="T162" s="136"/>
      <c r="U162" s="136">
        <f t="shared" si="44"/>
        <v>1537.8134298000002</v>
      </c>
    </row>
    <row r="163" spans="1:21" ht="15" outlineLevel="2">
      <c r="A163" s="6" t="s">
        <v>196</v>
      </c>
      <c r="B163" s="7" t="s">
        <v>78</v>
      </c>
      <c r="C163" s="7" t="s">
        <v>178</v>
      </c>
      <c r="D163" s="7" t="s">
        <v>197</v>
      </c>
      <c r="E163" s="42" t="s">
        <v>198</v>
      </c>
      <c r="F163" s="39" t="s">
        <v>53</v>
      </c>
      <c r="G163" s="24" t="s">
        <v>65</v>
      </c>
      <c r="H163" s="136">
        <v>2024.1534754</v>
      </c>
      <c r="I163" s="149">
        <v>2665</v>
      </c>
      <c r="J163" s="136">
        <f>I163*$J$2</f>
        <v>159.9</v>
      </c>
      <c r="K163" s="136">
        <v>30</v>
      </c>
      <c r="L163" s="139"/>
      <c r="M163" s="139"/>
      <c r="N163" s="136"/>
      <c r="O163" s="11"/>
      <c r="P163" s="136"/>
      <c r="Q163" s="140"/>
      <c r="R163" s="136"/>
      <c r="S163" s="136"/>
      <c r="T163" s="136"/>
      <c r="U163" s="136">
        <f t="shared" si="44"/>
        <v>2214.0534754</v>
      </c>
    </row>
    <row r="164" spans="1:21" ht="15" outlineLevel="2">
      <c r="A164" s="6" t="s">
        <v>196</v>
      </c>
      <c r="B164" s="7" t="s">
        <v>78</v>
      </c>
      <c r="C164" s="7" t="s">
        <v>178</v>
      </c>
      <c r="D164" s="7" t="s">
        <v>197</v>
      </c>
      <c r="E164" s="42" t="s">
        <v>198</v>
      </c>
      <c r="F164" s="39" t="s">
        <v>53</v>
      </c>
      <c r="G164" s="24" t="s">
        <v>66</v>
      </c>
      <c r="H164" s="136">
        <v>755.6652012000001</v>
      </c>
      <c r="I164" s="149">
        <v>833</v>
      </c>
      <c r="J164" s="136">
        <f>I164*$J$2</f>
        <v>49.98</v>
      </c>
      <c r="K164" s="136">
        <v>105</v>
      </c>
      <c r="L164" s="139"/>
      <c r="M164" s="139"/>
      <c r="N164" s="136"/>
      <c r="O164" s="11"/>
      <c r="P164" s="136"/>
      <c r="Q164" s="140"/>
      <c r="R164" s="136"/>
      <c r="S164" s="136"/>
      <c r="T164" s="136"/>
      <c r="U164" s="136">
        <f t="shared" si="44"/>
        <v>910.6452012000001</v>
      </c>
    </row>
    <row r="165" spans="1:21" ht="15" outlineLevel="2">
      <c r="A165" s="6" t="s">
        <v>196</v>
      </c>
      <c r="B165" s="7" t="s">
        <v>78</v>
      </c>
      <c r="C165" s="7" t="s">
        <v>178</v>
      </c>
      <c r="D165" s="7" t="s">
        <v>197</v>
      </c>
      <c r="E165" s="42" t="s">
        <v>198</v>
      </c>
      <c r="F165" s="39" t="s">
        <v>585</v>
      </c>
      <c r="G165" s="16" t="s">
        <v>585</v>
      </c>
      <c r="H165" s="136"/>
      <c r="I165" s="149"/>
      <c r="J165" s="136"/>
      <c r="K165" s="136"/>
      <c r="L165" s="139">
        <v>0.1</v>
      </c>
      <c r="M165" s="139">
        <v>0.33</v>
      </c>
      <c r="N165" s="136">
        <f>L165*M165*$N$2</f>
        <v>103.455</v>
      </c>
      <c r="O165" s="11"/>
      <c r="P165" s="136"/>
      <c r="Q165" s="140"/>
      <c r="R165" s="136"/>
      <c r="S165" s="136"/>
      <c r="T165" s="136"/>
      <c r="U165" s="136">
        <f t="shared" si="44"/>
        <v>103.455</v>
      </c>
    </row>
    <row r="166" spans="1:21" ht="15" outlineLevel="2">
      <c r="A166" s="28" t="s">
        <v>196</v>
      </c>
      <c r="B166" s="11" t="str">
        <f aca="true" t="shared" si="45" ref="B166:E167">B165</f>
        <v>DCHS</v>
      </c>
      <c r="C166" s="11" t="str">
        <f t="shared" si="45"/>
        <v>ADS</v>
      </c>
      <c r="D166" s="13" t="str">
        <f t="shared" si="45"/>
        <v>ADSDIVAHXIX</v>
      </c>
      <c r="E166" s="38" t="str">
        <f t="shared" si="45"/>
        <v>30-75</v>
      </c>
      <c r="F166" s="20" t="s">
        <v>615</v>
      </c>
      <c r="G166" s="11" t="s">
        <v>615</v>
      </c>
      <c r="H166" s="136"/>
      <c r="I166" s="140"/>
      <c r="J166" s="136"/>
      <c r="K166" s="136"/>
      <c r="L166" s="139"/>
      <c r="M166" s="139"/>
      <c r="N166" s="136"/>
      <c r="O166" s="29">
        <f>0.25+0.75</f>
        <v>1</v>
      </c>
      <c r="P166" s="136">
        <f>O166*$P$2</f>
        <v>72</v>
      </c>
      <c r="Q166" s="140"/>
      <c r="R166" s="136"/>
      <c r="S166" s="136"/>
      <c r="T166" s="136"/>
      <c r="U166" s="136">
        <f t="shared" si="44"/>
        <v>72</v>
      </c>
    </row>
    <row r="167" spans="1:21" ht="15" outlineLevel="2">
      <c r="A167" s="36" t="s">
        <v>646</v>
      </c>
      <c r="B167" s="11" t="str">
        <f t="shared" si="45"/>
        <v>DCHS</v>
      </c>
      <c r="C167" s="11" t="str">
        <f t="shared" si="45"/>
        <v>ADS</v>
      </c>
      <c r="D167" s="13" t="str">
        <f t="shared" si="45"/>
        <v>ADSDIVAHXIX</v>
      </c>
      <c r="E167" s="27" t="str">
        <f t="shared" si="45"/>
        <v>30-75</v>
      </c>
      <c r="F167" s="20" t="s">
        <v>683</v>
      </c>
      <c r="G167" s="11" t="s">
        <v>683</v>
      </c>
      <c r="H167" s="136"/>
      <c r="I167" s="140"/>
      <c r="J167" s="136"/>
      <c r="K167" s="136"/>
      <c r="L167" s="139"/>
      <c r="M167" s="139"/>
      <c r="N167" s="136"/>
      <c r="O167" s="34"/>
      <c r="P167" s="136"/>
      <c r="Q167" s="140"/>
      <c r="R167" s="136"/>
      <c r="S167" s="136"/>
      <c r="T167" s="150">
        <v>6.15</v>
      </c>
      <c r="U167" s="136">
        <f t="shared" si="44"/>
        <v>6.15</v>
      </c>
    </row>
    <row r="168" spans="1:21" s="5" customFormat="1" ht="15.75">
      <c r="A168" s="50" t="s">
        <v>789</v>
      </c>
      <c r="B168" s="49"/>
      <c r="C168" s="2"/>
      <c r="D168" s="61"/>
      <c r="E168" s="44"/>
      <c r="F168" s="51"/>
      <c r="G168" s="45"/>
      <c r="H168" s="137">
        <f aca="true" t="shared" si="46" ref="H168:U168">SUBTOTAL(9,H160:H167)</f>
        <v>6638.881639600001</v>
      </c>
      <c r="I168" s="167">
        <f t="shared" si="46"/>
        <v>11182</v>
      </c>
      <c r="J168" s="137">
        <f t="shared" si="46"/>
        <v>930.64</v>
      </c>
      <c r="K168" s="137">
        <f t="shared" si="46"/>
        <v>180</v>
      </c>
      <c r="L168" s="141">
        <f t="shared" si="46"/>
        <v>0.1</v>
      </c>
      <c r="M168" s="141">
        <f t="shared" si="46"/>
        <v>0.33</v>
      </c>
      <c r="N168" s="137">
        <f t="shared" si="46"/>
        <v>103.455</v>
      </c>
      <c r="O168" s="169">
        <f t="shared" si="46"/>
        <v>1</v>
      </c>
      <c r="P168" s="137">
        <f t="shared" si="46"/>
        <v>72</v>
      </c>
      <c r="Q168" s="167">
        <f t="shared" si="46"/>
        <v>0</v>
      </c>
      <c r="R168" s="137">
        <f t="shared" si="46"/>
        <v>0</v>
      </c>
      <c r="S168" s="137">
        <f t="shared" si="46"/>
        <v>0</v>
      </c>
      <c r="T168" s="137">
        <f t="shared" si="46"/>
        <v>6.15</v>
      </c>
      <c r="U168" s="137">
        <f t="shared" si="46"/>
        <v>7931.126639600001</v>
      </c>
    </row>
    <row r="169" spans="1:21" ht="15" outlineLevel="2">
      <c r="A169" s="28" t="s">
        <v>610</v>
      </c>
      <c r="B169" s="11" t="str">
        <f>B167</f>
        <v>DCHS</v>
      </c>
      <c r="C169" s="11" t="str">
        <f>C167</f>
        <v>ADS</v>
      </c>
      <c r="D169" s="13" t="str">
        <f>D167</f>
        <v>ADSDIVAHXIX</v>
      </c>
      <c r="E169" s="38" t="str">
        <f>E167</f>
        <v>30-75</v>
      </c>
      <c r="F169" s="20" t="s">
        <v>615</v>
      </c>
      <c r="G169" s="11" t="s">
        <v>615</v>
      </c>
      <c r="H169" s="136"/>
      <c r="I169" s="140"/>
      <c r="J169" s="136"/>
      <c r="K169" s="136"/>
      <c r="L169" s="139"/>
      <c r="M169" s="139"/>
      <c r="N169" s="136"/>
      <c r="O169" s="29">
        <v>0.25</v>
      </c>
      <c r="P169" s="136">
        <f>O169*$P$2</f>
        <v>18</v>
      </c>
      <c r="Q169" s="140"/>
      <c r="R169" s="136"/>
      <c r="S169" s="136"/>
      <c r="T169" s="136"/>
      <c r="U169" s="136">
        <f>H169+J169+K169+N169+P169+R169+S169+T169</f>
        <v>18</v>
      </c>
    </row>
    <row r="170" spans="1:21" s="5" customFormat="1" ht="15.75">
      <c r="A170" s="50" t="s">
        <v>790</v>
      </c>
      <c r="B170" s="49"/>
      <c r="C170" s="2"/>
      <c r="D170" s="61"/>
      <c r="E170" s="44"/>
      <c r="F170" s="51"/>
      <c r="G170" s="45"/>
      <c r="H170" s="137">
        <f aca="true" t="shared" si="47" ref="H170:U170">SUBTOTAL(9,H169:H169)</f>
        <v>0</v>
      </c>
      <c r="I170" s="167">
        <f t="shared" si="47"/>
        <v>0</v>
      </c>
      <c r="J170" s="137">
        <f t="shared" si="47"/>
        <v>0</v>
      </c>
      <c r="K170" s="137">
        <f t="shared" si="47"/>
        <v>0</v>
      </c>
      <c r="L170" s="141">
        <f t="shared" si="47"/>
        <v>0</v>
      </c>
      <c r="M170" s="141">
        <f t="shared" si="47"/>
        <v>0</v>
      </c>
      <c r="N170" s="137">
        <f t="shared" si="47"/>
        <v>0</v>
      </c>
      <c r="O170" s="169">
        <f t="shared" si="47"/>
        <v>0.25</v>
      </c>
      <c r="P170" s="137">
        <f t="shared" si="47"/>
        <v>18</v>
      </c>
      <c r="Q170" s="167">
        <f t="shared" si="47"/>
        <v>0</v>
      </c>
      <c r="R170" s="137">
        <f t="shared" si="47"/>
        <v>0</v>
      </c>
      <c r="S170" s="137">
        <f t="shared" si="47"/>
        <v>0</v>
      </c>
      <c r="T170" s="137">
        <f t="shared" si="47"/>
        <v>0</v>
      </c>
      <c r="U170" s="137">
        <f t="shared" si="47"/>
        <v>18</v>
      </c>
    </row>
    <row r="171" spans="1:21" ht="15" outlineLevel="2">
      <c r="A171" s="9" t="s">
        <v>15</v>
      </c>
      <c r="B171" s="25" t="s">
        <v>78</v>
      </c>
      <c r="C171" s="16" t="s">
        <v>163</v>
      </c>
      <c r="D171" s="26" t="s">
        <v>164</v>
      </c>
      <c r="E171" s="27" t="s">
        <v>89</v>
      </c>
      <c r="F171" s="20" t="s">
        <v>585</v>
      </c>
      <c r="G171" s="27" t="s">
        <v>585</v>
      </c>
      <c r="H171" s="136"/>
      <c r="I171" s="149"/>
      <c r="J171" s="136"/>
      <c r="K171" s="136"/>
      <c r="L171" s="139">
        <v>1</v>
      </c>
      <c r="M171" s="139">
        <v>0.35</v>
      </c>
      <c r="N171" s="136">
        <f>L171*M171*$N$2</f>
        <v>1097.25</v>
      </c>
      <c r="O171" s="11"/>
      <c r="P171" s="136"/>
      <c r="Q171" s="140"/>
      <c r="R171" s="136"/>
      <c r="S171" s="136"/>
      <c r="T171" s="136"/>
      <c r="U171" s="136">
        <f>H171+J171+K171+N171+P171+R171+S171+T171</f>
        <v>1097.25</v>
      </c>
    </row>
    <row r="172" spans="1:21" s="5" customFormat="1" ht="15.75">
      <c r="A172" s="50" t="s">
        <v>791</v>
      </c>
      <c r="B172" s="49"/>
      <c r="C172" s="2"/>
      <c r="D172" s="61"/>
      <c r="E172" s="44"/>
      <c r="F172" s="51"/>
      <c r="G172" s="45"/>
      <c r="H172" s="137">
        <f aca="true" t="shared" si="48" ref="H172:U172">SUBTOTAL(9,H171:H171)</f>
        <v>0</v>
      </c>
      <c r="I172" s="167">
        <f t="shared" si="48"/>
        <v>0</v>
      </c>
      <c r="J172" s="137">
        <f t="shared" si="48"/>
        <v>0</v>
      </c>
      <c r="K172" s="137">
        <f t="shared" si="48"/>
        <v>0</v>
      </c>
      <c r="L172" s="141">
        <f t="shared" si="48"/>
        <v>1</v>
      </c>
      <c r="M172" s="141">
        <f t="shared" si="48"/>
        <v>0.35</v>
      </c>
      <c r="N172" s="137">
        <f t="shared" si="48"/>
        <v>1097.25</v>
      </c>
      <c r="O172" s="169">
        <f t="shared" si="48"/>
        <v>0</v>
      </c>
      <c r="P172" s="137">
        <f t="shared" si="48"/>
        <v>0</v>
      </c>
      <c r="Q172" s="167">
        <f t="shared" si="48"/>
        <v>0</v>
      </c>
      <c r="R172" s="137">
        <f t="shared" si="48"/>
        <v>0</v>
      </c>
      <c r="S172" s="137">
        <f t="shared" si="48"/>
        <v>0</v>
      </c>
      <c r="T172" s="137">
        <f t="shared" si="48"/>
        <v>0</v>
      </c>
      <c r="U172" s="137">
        <f t="shared" si="48"/>
        <v>1097.25</v>
      </c>
    </row>
    <row r="173" spans="1:21" ht="15" outlineLevel="2">
      <c r="A173" s="6" t="s">
        <v>379</v>
      </c>
      <c r="B173" s="7" t="s">
        <v>78</v>
      </c>
      <c r="C173" s="7" t="s">
        <v>380</v>
      </c>
      <c r="D173" s="7" t="s">
        <v>381</v>
      </c>
      <c r="E173" s="42" t="s">
        <v>161</v>
      </c>
      <c r="F173" s="39" t="s">
        <v>53</v>
      </c>
      <c r="G173" s="24" t="s">
        <v>62</v>
      </c>
      <c r="H173" s="136">
        <v>47.497385600000015</v>
      </c>
      <c r="I173" s="149">
        <v>144</v>
      </c>
      <c r="J173" s="136">
        <f>I173*$J$1</f>
        <v>14.4</v>
      </c>
      <c r="K173" s="136">
        <v>0</v>
      </c>
      <c r="L173" s="139"/>
      <c r="M173" s="139"/>
      <c r="N173" s="136"/>
      <c r="O173" s="11"/>
      <c r="P173" s="136"/>
      <c r="Q173" s="140"/>
      <c r="R173" s="136"/>
      <c r="S173" s="136"/>
      <c r="T173" s="136"/>
      <c r="U173" s="136">
        <f aca="true" t="shared" si="49" ref="U173:U178">H173+J173+K173+N173+P173+R173+S173+T173</f>
        <v>61.897385600000014</v>
      </c>
    </row>
    <row r="174" spans="1:21" ht="15" outlineLevel="2">
      <c r="A174" s="6" t="s">
        <v>379</v>
      </c>
      <c r="B174" s="7" t="s">
        <v>78</v>
      </c>
      <c r="C174" s="7" t="s">
        <v>380</v>
      </c>
      <c r="D174" s="7" t="s">
        <v>381</v>
      </c>
      <c r="E174" s="42" t="s">
        <v>161</v>
      </c>
      <c r="F174" s="39" t="s">
        <v>53</v>
      </c>
      <c r="G174" s="24" t="s">
        <v>63</v>
      </c>
      <c r="H174" s="136">
        <v>53.761722</v>
      </c>
      <c r="I174" s="149">
        <v>19</v>
      </c>
      <c r="J174" s="136">
        <f>I174*$J$2</f>
        <v>1.14</v>
      </c>
      <c r="K174" s="136">
        <v>60</v>
      </c>
      <c r="L174" s="139"/>
      <c r="M174" s="139"/>
      <c r="N174" s="136"/>
      <c r="O174" s="11"/>
      <c r="P174" s="136"/>
      <c r="Q174" s="140"/>
      <c r="R174" s="136"/>
      <c r="S174" s="136"/>
      <c r="T174" s="136"/>
      <c r="U174" s="136">
        <f t="shared" si="49"/>
        <v>114.901722</v>
      </c>
    </row>
    <row r="175" spans="1:21" ht="15" outlineLevel="2">
      <c r="A175" s="6" t="s">
        <v>379</v>
      </c>
      <c r="B175" s="7" t="s">
        <v>78</v>
      </c>
      <c r="C175" s="7" t="s">
        <v>380</v>
      </c>
      <c r="D175" s="7" t="s">
        <v>381</v>
      </c>
      <c r="E175" s="42" t="s">
        <v>161</v>
      </c>
      <c r="F175" s="39" t="s">
        <v>53</v>
      </c>
      <c r="G175" s="24" t="s">
        <v>64</v>
      </c>
      <c r="H175" s="136">
        <v>41.251924</v>
      </c>
      <c r="I175" s="149">
        <v>31</v>
      </c>
      <c r="J175" s="136">
        <f>I175*$J$2</f>
        <v>1.8599999999999999</v>
      </c>
      <c r="K175" s="136">
        <v>15</v>
      </c>
      <c r="L175" s="139"/>
      <c r="M175" s="139"/>
      <c r="N175" s="136"/>
      <c r="O175" s="11"/>
      <c r="P175" s="136"/>
      <c r="Q175" s="140"/>
      <c r="R175" s="136"/>
      <c r="S175" s="136"/>
      <c r="T175" s="136"/>
      <c r="U175" s="136">
        <f t="shared" si="49"/>
        <v>58.111924</v>
      </c>
    </row>
    <row r="176" spans="1:21" ht="15" outlineLevel="2">
      <c r="A176" s="6" t="s">
        <v>379</v>
      </c>
      <c r="B176" s="7" t="s">
        <v>78</v>
      </c>
      <c r="C176" s="7" t="s">
        <v>380</v>
      </c>
      <c r="D176" s="7" t="s">
        <v>381</v>
      </c>
      <c r="E176" s="42" t="s">
        <v>161</v>
      </c>
      <c r="F176" s="39" t="s">
        <v>53</v>
      </c>
      <c r="G176" s="24" t="s">
        <v>65</v>
      </c>
      <c r="H176" s="136">
        <v>50.427174</v>
      </c>
      <c r="I176" s="149">
        <v>92</v>
      </c>
      <c r="J176" s="136">
        <f>I176*$J$2</f>
        <v>5.52</v>
      </c>
      <c r="K176" s="136">
        <v>75</v>
      </c>
      <c r="L176" s="139"/>
      <c r="M176" s="139"/>
      <c r="N176" s="136"/>
      <c r="O176" s="11"/>
      <c r="P176" s="136"/>
      <c r="Q176" s="140"/>
      <c r="R176" s="136"/>
      <c r="S176" s="136"/>
      <c r="T176" s="136"/>
      <c r="U176" s="136">
        <f t="shared" si="49"/>
        <v>130.94717400000002</v>
      </c>
    </row>
    <row r="177" spans="1:21" ht="15" outlineLevel="2">
      <c r="A177" s="6" t="s">
        <v>379</v>
      </c>
      <c r="B177" s="7" t="s">
        <v>78</v>
      </c>
      <c r="C177" s="7" t="s">
        <v>380</v>
      </c>
      <c r="D177" s="7" t="s">
        <v>381</v>
      </c>
      <c r="E177" s="42" t="s">
        <v>161</v>
      </c>
      <c r="F177" s="39" t="s">
        <v>53</v>
      </c>
      <c r="G177" s="24" t="s">
        <v>66</v>
      </c>
      <c r="H177" s="136">
        <v>29.245454</v>
      </c>
      <c r="I177" s="149">
        <v>30</v>
      </c>
      <c r="J177" s="136">
        <f>I177*$J$2</f>
        <v>1.7999999999999998</v>
      </c>
      <c r="K177" s="136">
        <v>30</v>
      </c>
      <c r="L177" s="139"/>
      <c r="M177" s="139"/>
      <c r="N177" s="136"/>
      <c r="O177" s="11"/>
      <c r="P177" s="136"/>
      <c r="Q177" s="140"/>
      <c r="R177" s="136"/>
      <c r="S177" s="136"/>
      <c r="T177" s="136"/>
      <c r="U177" s="136">
        <f t="shared" si="49"/>
        <v>61.045454</v>
      </c>
    </row>
    <row r="178" spans="1:21" ht="15" outlineLevel="2">
      <c r="A178" s="36" t="s">
        <v>661</v>
      </c>
      <c r="B178" s="11" t="str">
        <f>B177</f>
        <v>DCHS</v>
      </c>
      <c r="C178" s="11" t="str">
        <f>C177</f>
        <v>DV</v>
      </c>
      <c r="D178" s="13" t="str">
        <f>D177</f>
        <v>DV SVC.CGF</v>
      </c>
      <c r="E178" s="27" t="str">
        <f>E177</f>
        <v>20-30</v>
      </c>
      <c r="F178" s="20" t="s">
        <v>683</v>
      </c>
      <c r="G178" s="11" t="s">
        <v>683</v>
      </c>
      <c r="H178" s="136"/>
      <c r="I178" s="140"/>
      <c r="J178" s="136"/>
      <c r="K178" s="136"/>
      <c r="L178" s="139"/>
      <c r="M178" s="139"/>
      <c r="N178" s="136"/>
      <c r="O178" s="34"/>
      <c r="P178" s="136"/>
      <c r="Q178" s="140"/>
      <c r="R178" s="136"/>
      <c r="S178" s="136"/>
      <c r="T178" s="150">
        <v>5.19</v>
      </c>
      <c r="U178" s="136">
        <f t="shared" si="49"/>
        <v>5.19</v>
      </c>
    </row>
    <row r="179" spans="1:21" s="5" customFormat="1" ht="15.75">
      <c r="A179" s="50" t="s">
        <v>792</v>
      </c>
      <c r="B179" s="49"/>
      <c r="C179" s="2"/>
      <c r="D179" s="61"/>
      <c r="E179" s="44"/>
      <c r="F179" s="51"/>
      <c r="G179" s="45"/>
      <c r="H179" s="137">
        <f aca="true" t="shared" si="50" ref="H179:U179">SUBTOTAL(9,H173:H178)</f>
        <v>222.18365960000003</v>
      </c>
      <c r="I179" s="167">
        <f t="shared" si="50"/>
        <v>316</v>
      </c>
      <c r="J179" s="137">
        <f t="shared" si="50"/>
        <v>24.720000000000002</v>
      </c>
      <c r="K179" s="137">
        <f t="shared" si="50"/>
        <v>180</v>
      </c>
      <c r="L179" s="141">
        <f t="shared" si="50"/>
        <v>0</v>
      </c>
      <c r="M179" s="141">
        <f t="shared" si="50"/>
        <v>0</v>
      </c>
      <c r="N179" s="137">
        <f t="shared" si="50"/>
        <v>0</v>
      </c>
      <c r="O179" s="169">
        <f t="shared" si="50"/>
        <v>0</v>
      </c>
      <c r="P179" s="137">
        <f t="shared" si="50"/>
        <v>0</v>
      </c>
      <c r="Q179" s="167">
        <f t="shared" si="50"/>
        <v>0</v>
      </c>
      <c r="R179" s="137">
        <f t="shared" si="50"/>
        <v>0</v>
      </c>
      <c r="S179" s="137">
        <f t="shared" si="50"/>
        <v>0</v>
      </c>
      <c r="T179" s="137">
        <f t="shared" si="50"/>
        <v>5.19</v>
      </c>
      <c r="U179" s="137">
        <f t="shared" si="50"/>
        <v>432.0936596</v>
      </c>
    </row>
    <row r="180" spans="1:21" ht="15" outlineLevel="2">
      <c r="A180" s="6" t="s">
        <v>382</v>
      </c>
      <c r="B180" s="7" t="s">
        <v>78</v>
      </c>
      <c r="C180" s="7" t="s">
        <v>383</v>
      </c>
      <c r="D180" s="7" t="s">
        <v>381</v>
      </c>
      <c r="E180" s="42" t="s">
        <v>161</v>
      </c>
      <c r="F180" s="39" t="s">
        <v>53</v>
      </c>
      <c r="G180" s="24" t="s">
        <v>62</v>
      </c>
      <c r="H180" s="136">
        <v>8.8334064</v>
      </c>
      <c r="I180" s="149">
        <v>27</v>
      </c>
      <c r="J180" s="136">
        <f>I180*$J$1</f>
        <v>2.7</v>
      </c>
      <c r="K180" s="136">
        <v>45</v>
      </c>
      <c r="L180" s="139"/>
      <c r="M180" s="139"/>
      <c r="N180" s="136"/>
      <c r="O180" s="11"/>
      <c r="P180" s="136"/>
      <c r="Q180" s="140"/>
      <c r="R180" s="136"/>
      <c r="S180" s="136"/>
      <c r="T180" s="136"/>
      <c r="U180" s="136">
        <f>H180+J180+K180+N180+P180+R180+S180+T180</f>
        <v>56.533406400000004</v>
      </c>
    </row>
    <row r="181" spans="1:21" ht="15" outlineLevel="2">
      <c r="A181" s="6" t="s">
        <v>382</v>
      </c>
      <c r="B181" s="7" t="s">
        <v>78</v>
      </c>
      <c r="C181" s="7" t="s">
        <v>383</v>
      </c>
      <c r="D181" s="7" t="s">
        <v>381</v>
      </c>
      <c r="E181" s="42" t="s">
        <v>161</v>
      </c>
      <c r="F181" s="39" t="s">
        <v>53</v>
      </c>
      <c r="G181" s="24" t="s">
        <v>63</v>
      </c>
      <c r="H181" s="136">
        <v>3.659614</v>
      </c>
      <c r="I181" s="149">
        <v>2</v>
      </c>
      <c r="J181" s="136">
        <f>I181*$J$2</f>
        <v>0.12</v>
      </c>
      <c r="K181" s="136">
        <v>15</v>
      </c>
      <c r="L181" s="139"/>
      <c r="M181" s="139"/>
      <c r="N181" s="136"/>
      <c r="O181" s="11"/>
      <c r="P181" s="136"/>
      <c r="Q181" s="140"/>
      <c r="R181" s="136"/>
      <c r="S181" s="136"/>
      <c r="T181" s="136"/>
      <c r="U181" s="136">
        <f>H181+J181+K181+N181+P181+R181+S181+T181</f>
        <v>18.779614</v>
      </c>
    </row>
    <row r="182" spans="1:21" ht="15" outlineLevel="2">
      <c r="A182" s="6" t="s">
        <v>382</v>
      </c>
      <c r="B182" s="7" t="s">
        <v>78</v>
      </c>
      <c r="C182" s="7" t="s">
        <v>383</v>
      </c>
      <c r="D182" s="7" t="s">
        <v>381</v>
      </c>
      <c r="E182" s="42" t="s">
        <v>161</v>
      </c>
      <c r="F182" s="39" t="s">
        <v>53</v>
      </c>
      <c r="G182" s="24" t="s">
        <v>64</v>
      </c>
      <c r="H182" s="136">
        <v>7.23534</v>
      </c>
      <c r="I182" s="149">
        <v>6</v>
      </c>
      <c r="J182" s="136">
        <f>I182*$J$2</f>
        <v>0.36</v>
      </c>
      <c r="K182" s="136">
        <v>0</v>
      </c>
      <c r="L182" s="139"/>
      <c r="M182" s="139"/>
      <c r="N182" s="136"/>
      <c r="O182" s="11"/>
      <c r="P182" s="136"/>
      <c r="Q182" s="140"/>
      <c r="R182" s="136"/>
      <c r="S182" s="136"/>
      <c r="T182" s="136"/>
      <c r="U182" s="136">
        <f>H182+J182+K182+N182+P182+R182+S182+T182</f>
        <v>7.59534</v>
      </c>
    </row>
    <row r="183" spans="1:21" ht="15" outlineLevel="2">
      <c r="A183" s="6" t="s">
        <v>382</v>
      </c>
      <c r="B183" s="7" t="s">
        <v>78</v>
      </c>
      <c r="C183" s="7" t="s">
        <v>383</v>
      </c>
      <c r="D183" s="7" t="s">
        <v>381</v>
      </c>
      <c r="E183" s="42" t="s">
        <v>161</v>
      </c>
      <c r="F183" s="39" t="s">
        <v>53</v>
      </c>
      <c r="G183" s="24" t="s">
        <v>65</v>
      </c>
      <c r="H183" s="136">
        <v>48.592124000000005</v>
      </c>
      <c r="I183" s="149">
        <v>112</v>
      </c>
      <c r="J183" s="136">
        <f>I183*$J$2</f>
        <v>6.72</v>
      </c>
      <c r="K183" s="136">
        <v>105</v>
      </c>
      <c r="L183" s="139"/>
      <c r="M183" s="139"/>
      <c r="N183" s="136"/>
      <c r="O183" s="11"/>
      <c r="P183" s="136"/>
      <c r="Q183" s="140"/>
      <c r="R183" s="136"/>
      <c r="S183" s="136"/>
      <c r="T183" s="136"/>
      <c r="U183" s="136">
        <f>H183+J183+K183+N183+P183+R183+S183+T183</f>
        <v>160.312124</v>
      </c>
    </row>
    <row r="184" spans="1:21" ht="15" outlineLevel="2">
      <c r="A184" s="6" t="s">
        <v>382</v>
      </c>
      <c r="B184" s="7" t="s">
        <v>78</v>
      </c>
      <c r="C184" s="7" t="s">
        <v>383</v>
      </c>
      <c r="D184" s="7" t="s">
        <v>381</v>
      </c>
      <c r="E184" s="42" t="s">
        <v>161</v>
      </c>
      <c r="F184" s="39" t="s">
        <v>53</v>
      </c>
      <c r="G184" s="24" t="s">
        <v>66</v>
      </c>
      <c r="H184" s="136">
        <v>2.5355148</v>
      </c>
      <c r="I184" s="149">
        <v>2</v>
      </c>
      <c r="J184" s="136">
        <f>I184*$J$2</f>
        <v>0.12</v>
      </c>
      <c r="K184" s="136">
        <v>0</v>
      </c>
      <c r="L184" s="139"/>
      <c r="M184" s="139"/>
      <c r="N184" s="136"/>
      <c r="O184" s="11"/>
      <c r="P184" s="136"/>
      <c r="Q184" s="140"/>
      <c r="R184" s="136"/>
      <c r="S184" s="136"/>
      <c r="T184" s="136"/>
      <c r="U184" s="136">
        <f>H184+J184+K184+N184+P184+R184+S184+T184</f>
        <v>2.6555148</v>
      </c>
    </row>
    <row r="185" spans="1:21" s="5" customFormat="1" ht="15.75">
      <c r="A185" s="50" t="s">
        <v>793</v>
      </c>
      <c r="B185" s="49"/>
      <c r="C185" s="2"/>
      <c r="D185" s="61"/>
      <c r="E185" s="44"/>
      <c r="F185" s="51"/>
      <c r="G185" s="45"/>
      <c r="H185" s="137">
        <f aca="true" t="shared" si="51" ref="H185:U185">SUBTOTAL(9,H180:H184)</f>
        <v>70.8559992</v>
      </c>
      <c r="I185" s="167">
        <f t="shared" si="51"/>
        <v>149</v>
      </c>
      <c r="J185" s="137">
        <f t="shared" si="51"/>
        <v>10.02</v>
      </c>
      <c r="K185" s="137">
        <f t="shared" si="51"/>
        <v>165</v>
      </c>
      <c r="L185" s="141">
        <f t="shared" si="51"/>
        <v>0</v>
      </c>
      <c r="M185" s="141">
        <f t="shared" si="51"/>
        <v>0</v>
      </c>
      <c r="N185" s="137">
        <f t="shared" si="51"/>
        <v>0</v>
      </c>
      <c r="O185" s="169">
        <f t="shared" si="51"/>
        <v>0</v>
      </c>
      <c r="P185" s="137">
        <f t="shared" si="51"/>
        <v>0</v>
      </c>
      <c r="Q185" s="167">
        <f t="shared" si="51"/>
        <v>0</v>
      </c>
      <c r="R185" s="137">
        <f t="shared" si="51"/>
        <v>0</v>
      </c>
      <c r="S185" s="137">
        <f t="shared" si="51"/>
        <v>0</v>
      </c>
      <c r="T185" s="137">
        <f t="shared" si="51"/>
        <v>0</v>
      </c>
      <c r="U185" s="137">
        <f t="shared" si="51"/>
        <v>245.8759992</v>
      </c>
    </row>
    <row r="186" spans="1:21" ht="15" outlineLevel="2">
      <c r="A186" s="6" t="s">
        <v>392</v>
      </c>
      <c r="B186" s="7" t="s">
        <v>78</v>
      </c>
      <c r="C186" s="7" t="s">
        <v>83</v>
      </c>
      <c r="D186" s="21" t="s">
        <v>393</v>
      </c>
      <c r="E186" s="42" t="s">
        <v>85</v>
      </c>
      <c r="F186" s="39" t="s">
        <v>53</v>
      </c>
      <c r="G186" s="24" t="s">
        <v>62</v>
      </c>
      <c r="H186" s="136">
        <v>716.5849278</v>
      </c>
      <c r="I186" s="149">
        <v>2152</v>
      </c>
      <c r="J186" s="136">
        <f>I186*$J$1</f>
        <v>215.20000000000002</v>
      </c>
      <c r="K186" s="136">
        <v>60</v>
      </c>
      <c r="L186" s="139"/>
      <c r="M186" s="139"/>
      <c r="N186" s="136"/>
      <c r="O186" s="11"/>
      <c r="P186" s="136"/>
      <c r="Q186" s="140"/>
      <c r="R186" s="136"/>
      <c r="S186" s="136"/>
      <c r="T186" s="136"/>
      <c r="U186" s="136">
        <f aca="true" t="shared" si="52" ref="U186:U193">H186+J186+K186+N186+P186+R186+S186+T186</f>
        <v>991.7849278</v>
      </c>
    </row>
    <row r="187" spans="1:21" ht="15" outlineLevel="2">
      <c r="A187" s="6" t="s">
        <v>392</v>
      </c>
      <c r="B187" s="7" t="s">
        <v>78</v>
      </c>
      <c r="C187" s="7" t="s">
        <v>83</v>
      </c>
      <c r="D187" s="21" t="s">
        <v>393</v>
      </c>
      <c r="E187" s="42" t="s">
        <v>85</v>
      </c>
      <c r="F187" s="39" t="s">
        <v>53</v>
      </c>
      <c r="G187" s="24" t="s">
        <v>63</v>
      </c>
      <c r="H187" s="136">
        <v>458.2382</v>
      </c>
      <c r="I187" s="149">
        <v>126</v>
      </c>
      <c r="J187" s="136">
        <f>I187*$J$2</f>
        <v>7.56</v>
      </c>
      <c r="K187" s="136">
        <v>0</v>
      </c>
      <c r="L187" s="139"/>
      <c r="M187" s="139"/>
      <c r="N187" s="136"/>
      <c r="O187" s="11"/>
      <c r="P187" s="136"/>
      <c r="Q187" s="140"/>
      <c r="R187" s="136"/>
      <c r="S187" s="136"/>
      <c r="T187" s="136"/>
      <c r="U187" s="136">
        <f t="shared" si="52"/>
        <v>465.7982</v>
      </c>
    </row>
    <row r="188" spans="1:21" ht="15" outlineLevel="2">
      <c r="A188" s="6" t="s">
        <v>392</v>
      </c>
      <c r="B188" s="7" t="s">
        <v>78</v>
      </c>
      <c r="C188" s="7" t="s">
        <v>83</v>
      </c>
      <c r="D188" s="21" t="s">
        <v>393</v>
      </c>
      <c r="E188" s="42" t="s">
        <v>85</v>
      </c>
      <c r="F188" s="39" t="s">
        <v>53</v>
      </c>
      <c r="G188" s="24" t="s">
        <v>64</v>
      </c>
      <c r="H188" s="136">
        <v>450.1912436</v>
      </c>
      <c r="I188" s="149">
        <v>325</v>
      </c>
      <c r="J188" s="136">
        <f>I188*$J$2</f>
        <v>19.5</v>
      </c>
      <c r="K188" s="136">
        <v>45</v>
      </c>
      <c r="L188" s="139"/>
      <c r="M188" s="139"/>
      <c r="N188" s="136"/>
      <c r="O188" s="11"/>
      <c r="P188" s="136"/>
      <c r="Q188" s="140"/>
      <c r="R188" s="136"/>
      <c r="S188" s="136"/>
      <c r="T188" s="136"/>
      <c r="U188" s="136">
        <f t="shared" si="52"/>
        <v>514.6912436</v>
      </c>
    </row>
    <row r="189" spans="1:21" ht="15" outlineLevel="2">
      <c r="A189" s="6" t="s">
        <v>392</v>
      </c>
      <c r="B189" s="7" t="s">
        <v>78</v>
      </c>
      <c r="C189" s="7" t="s">
        <v>83</v>
      </c>
      <c r="D189" s="21" t="s">
        <v>393</v>
      </c>
      <c r="E189" s="42" t="s">
        <v>85</v>
      </c>
      <c r="F189" s="39" t="s">
        <v>53</v>
      </c>
      <c r="G189" s="24" t="s">
        <v>65</v>
      </c>
      <c r="H189" s="136">
        <v>397.64799480000005</v>
      </c>
      <c r="I189" s="149">
        <v>921</v>
      </c>
      <c r="J189" s="136">
        <f>I189*$J$2</f>
        <v>55.26</v>
      </c>
      <c r="K189" s="136">
        <v>45</v>
      </c>
      <c r="L189" s="139"/>
      <c r="M189" s="139"/>
      <c r="N189" s="136"/>
      <c r="O189" s="11"/>
      <c r="P189" s="136"/>
      <c r="Q189" s="140"/>
      <c r="R189" s="136"/>
      <c r="S189" s="136"/>
      <c r="T189" s="136"/>
      <c r="U189" s="136">
        <f t="shared" si="52"/>
        <v>497.90799480000004</v>
      </c>
    </row>
    <row r="190" spans="1:21" ht="15" outlineLevel="2">
      <c r="A190" s="6" t="s">
        <v>392</v>
      </c>
      <c r="B190" s="7" t="s">
        <v>78</v>
      </c>
      <c r="C190" s="7" t="s">
        <v>83</v>
      </c>
      <c r="D190" s="21" t="s">
        <v>393</v>
      </c>
      <c r="E190" s="42" t="s">
        <v>85</v>
      </c>
      <c r="F190" s="39" t="s">
        <v>53</v>
      </c>
      <c r="G190" s="24" t="s">
        <v>66</v>
      </c>
      <c r="H190" s="136">
        <v>172.783065</v>
      </c>
      <c r="I190" s="149">
        <v>231</v>
      </c>
      <c r="J190" s="136">
        <f>I190*$J$2</f>
        <v>13.86</v>
      </c>
      <c r="K190" s="136">
        <v>30</v>
      </c>
      <c r="L190" s="139"/>
      <c r="M190" s="139"/>
      <c r="N190" s="136"/>
      <c r="O190" s="11"/>
      <c r="P190" s="136"/>
      <c r="Q190" s="140"/>
      <c r="R190" s="136"/>
      <c r="S190" s="136"/>
      <c r="T190" s="136"/>
      <c r="U190" s="136">
        <f t="shared" si="52"/>
        <v>216.64306499999998</v>
      </c>
    </row>
    <row r="191" spans="1:21" ht="15" outlineLevel="2">
      <c r="A191" s="6" t="s">
        <v>392</v>
      </c>
      <c r="B191" s="7" t="s">
        <v>78</v>
      </c>
      <c r="C191" s="7" t="s">
        <v>83</v>
      </c>
      <c r="D191" s="21" t="s">
        <v>393</v>
      </c>
      <c r="E191" s="42" t="s">
        <v>85</v>
      </c>
      <c r="F191" s="39" t="s">
        <v>53</v>
      </c>
      <c r="G191" s="24" t="s">
        <v>90</v>
      </c>
      <c r="H191" s="136">
        <v>0.817908</v>
      </c>
      <c r="I191" s="149">
        <v>3</v>
      </c>
      <c r="J191" s="136">
        <f>I191*$J$2</f>
        <v>0.18</v>
      </c>
      <c r="K191" s="136">
        <v>0</v>
      </c>
      <c r="L191" s="139"/>
      <c r="M191" s="139"/>
      <c r="N191" s="136"/>
      <c r="O191" s="11"/>
      <c r="P191" s="136"/>
      <c r="Q191" s="140"/>
      <c r="R191" s="136"/>
      <c r="S191" s="136"/>
      <c r="T191" s="136"/>
      <c r="U191" s="136">
        <f t="shared" si="52"/>
        <v>0.997908</v>
      </c>
    </row>
    <row r="192" spans="1:21" ht="15" outlineLevel="2">
      <c r="A192" s="6" t="str">
        <f>A191</f>
        <v>M558</v>
      </c>
      <c r="B192" s="11" t="str">
        <f>B191</f>
        <v>DCHS</v>
      </c>
      <c r="C192" s="11" t="str">
        <f>C191</f>
        <v>DCCP</v>
      </c>
      <c r="D192" s="13" t="str">
        <f>D191</f>
        <v>SCPCPS.M558.CGF</v>
      </c>
      <c r="E192" s="24" t="str">
        <f>E191</f>
        <v>22-10</v>
      </c>
      <c r="F192" s="39" t="s">
        <v>585</v>
      </c>
      <c r="G192" s="24" t="s">
        <v>585</v>
      </c>
      <c r="H192" s="136"/>
      <c r="I192" s="149"/>
      <c r="J192" s="136"/>
      <c r="K192" s="136"/>
      <c r="L192" s="139">
        <v>1</v>
      </c>
      <c r="M192" s="139">
        <v>0.85</v>
      </c>
      <c r="N192" s="136">
        <f>L192*M192*$N$2</f>
        <v>2664.75</v>
      </c>
      <c r="O192" s="11"/>
      <c r="P192" s="136"/>
      <c r="Q192" s="140"/>
      <c r="R192" s="136"/>
      <c r="S192" s="136"/>
      <c r="T192" s="136"/>
      <c r="U192" s="136">
        <f t="shared" si="52"/>
        <v>2664.75</v>
      </c>
    </row>
    <row r="193" spans="1:21" ht="15" outlineLevel="2">
      <c r="A193" s="28" t="s">
        <v>392</v>
      </c>
      <c r="B193" s="11" t="str">
        <f>B192</f>
        <v>DCHS</v>
      </c>
      <c r="C193" s="11" t="str">
        <f>C192</f>
        <v>DCCP</v>
      </c>
      <c r="D193" s="13" t="str">
        <f>D192</f>
        <v>SCPCPS.M558.CGF</v>
      </c>
      <c r="E193" s="38" t="str">
        <f>E192</f>
        <v>22-10</v>
      </c>
      <c r="F193" s="20" t="s">
        <v>615</v>
      </c>
      <c r="G193" s="11" t="s">
        <v>615</v>
      </c>
      <c r="H193" s="136"/>
      <c r="I193" s="140"/>
      <c r="J193" s="136"/>
      <c r="K193" s="136"/>
      <c r="L193" s="139"/>
      <c r="M193" s="139"/>
      <c r="N193" s="136"/>
      <c r="O193" s="29">
        <f>1+2.5+0.25</f>
        <v>3.75</v>
      </c>
      <c r="P193" s="136">
        <f>O193*$P$2</f>
        <v>270</v>
      </c>
      <c r="Q193" s="140"/>
      <c r="R193" s="136"/>
      <c r="S193" s="136"/>
      <c r="T193" s="136"/>
      <c r="U193" s="136">
        <f t="shared" si="52"/>
        <v>270</v>
      </c>
    </row>
    <row r="194" spans="1:21" s="5" customFormat="1" ht="15.75">
      <c r="A194" s="50" t="s">
        <v>794</v>
      </c>
      <c r="B194" s="49"/>
      <c r="C194" s="2"/>
      <c r="D194" s="61"/>
      <c r="E194" s="44"/>
      <c r="F194" s="51"/>
      <c r="G194" s="45"/>
      <c r="H194" s="137">
        <f aca="true" t="shared" si="53" ref="H194:U194">SUBTOTAL(9,H186:H193)</f>
        <v>2196.2633392</v>
      </c>
      <c r="I194" s="167">
        <f t="shared" si="53"/>
        <v>3758</v>
      </c>
      <c r="J194" s="137">
        <f t="shared" si="53"/>
        <v>311.56000000000006</v>
      </c>
      <c r="K194" s="137">
        <f t="shared" si="53"/>
        <v>180</v>
      </c>
      <c r="L194" s="141">
        <f t="shared" si="53"/>
        <v>1</v>
      </c>
      <c r="M194" s="141">
        <f t="shared" si="53"/>
        <v>0.85</v>
      </c>
      <c r="N194" s="137">
        <f t="shared" si="53"/>
        <v>2664.75</v>
      </c>
      <c r="O194" s="169">
        <f t="shared" si="53"/>
        <v>3.75</v>
      </c>
      <c r="P194" s="137">
        <f t="shared" si="53"/>
        <v>270</v>
      </c>
      <c r="Q194" s="167">
        <f t="shared" si="53"/>
        <v>0</v>
      </c>
      <c r="R194" s="137">
        <f t="shared" si="53"/>
        <v>0</v>
      </c>
      <c r="S194" s="137">
        <f t="shared" si="53"/>
        <v>0</v>
      </c>
      <c r="T194" s="137">
        <f t="shared" si="53"/>
        <v>0</v>
      </c>
      <c r="U194" s="137">
        <f t="shared" si="53"/>
        <v>5622.5733392</v>
      </c>
    </row>
    <row r="195" spans="1:21" ht="15" outlineLevel="2">
      <c r="A195" s="22" t="s">
        <v>405</v>
      </c>
      <c r="B195" s="17" t="s">
        <v>78</v>
      </c>
      <c r="C195" s="17" t="s">
        <v>383</v>
      </c>
      <c r="D195" s="20" t="s">
        <v>160</v>
      </c>
      <c r="E195" s="27" t="s">
        <v>161</v>
      </c>
      <c r="F195" s="39" t="s">
        <v>53</v>
      </c>
      <c r="G195" s="18" t="s">
        <v>62</v>
      </c>
      <c r="H195" s="152">
        <v>96.1335508</v>
      </c>
      <c r="I195" s="159">
        <v>293</v>
      </c>
      <c r="J195" s="136">
        <f>I195*$J$1</f>
        <v>29.3</v>
      </c>
      <c r="K195" s="152">
        <v>90</v>
      </c>
      <c r="L195" s="154"/>
      <c r="M195" s="154"/>
      <c r="N195" s="152"/>
      <c r="O195" s="17"/>
      <c r="P195" s="152"/>
      <c r="Q195" s="153"/>
      <c r="R195" s="152"/>
      <c r="S195" s="136"/>
      <c r="T195" s="136"/>
      <c r="U195" s="136">
        <f>H195+J195+K195+N195+P195+R195+S195+T195</f>
        <v>215.43355079999998</v>
      </c>
    </row>
    <row r="196" spans="1:21" ht="15" outlineLevel="2">
      <c r="A196" s="22" t="s">
        <v>405</v>
      </c>
      <c r="B196" s="17" t="s">
        <v>78</v>
      </c>
      <c r="C196" s="17" t="s">
        <v>383</v>
      </c>
      <c r="D196" s="20" t="s">
        <v>160</v>
      </c>
      <c r="E196" s="27" t="s">
        <v>161</v>
      </c>
      <c r="F196" s="39" t="s">
        <v>53</v>
      </c>
      <c r="G196" s="17" t="s">
        <v>63</v>
      </c>
      <c r="H196" s="152">
        <v>1.36318</v>
      </c>
      <c r="I196" s="153">
        <v>1</v>
      </c>
      <c r="J196" s="136">
        <f>I196*$J$2</f>
        <v>0.06</v>
      </c>
      <c r="K196" s="152">
        <v>0</v>
      </c>
      <c r="L196" s="154"/>
      <c r="M196" s="154"/>
      <c r="N196" s="152"/>
      <c r="O196" s="17"/>
      <c r="P196" s="152"/>
      <c r="Q196" s="153"/>
      <c r="R196" s="152"/>
      <c r="S196" s="136"/>
      <c r="T196" s="136"/>
      <c r="U196" s="136">
        <f>H196+J196+K196+N196+P196+R196+S196+T196</f>
        <v>1.4231800000000001</v>
      </c>
    </row>
    <row r="197" spans="1:21" ht="15" outlineLevel="2">
      <c r="A197" s="22" t="s">
        <v>405</v>
      </c>
      <c r="B197" s="17" t="s">
        <v>78</v>
      </c>
      <c r="C197" s="17" t="s">
        <v>383</v>
      </c>
      <c r="D197" s="20" t="s">
        <v>160</v>
      </c>
      <c r="E197" s="27" t="s">
        <v>161</v>
      </c>
      <c r="F197" s="39" t="s">
        <v>53</v>
      </c>
      <c r="G197" s="18" t="s">
        <v>64</v>
      </c>
      <c r="H197" s="152">
        <v>11.596467400000002</v>
      </c>
      <c r="I197" s="159">
        <v>7</v>
      </c>
      <c r="J197" s="136">
        <f>I197*$J$2</f>
        <v>0.42</v>
      </c>
      <c r="K197" s="152">
        <v>15</v>
      </c>
      <c r="L197" s="154"/>
      <c r="M197" s="154"/>
      <c r="N197" s="152"/>
      <c r="O197" s="17"/>
      <c r="P197" s="152"/>
      <c r="Q197" s="153"/>
      <c r="R197" s="152"/>
      <c r="S197" s="136"/>
      <c r="T197" s="136"/>
      <c r="U197" s="136">
        <f>H197+J197+K197+N197+P197+R197+S197+T197</f>
        <v>27.016467400000003</v>
      </c>
    </row>
    <row r="198" spans="1:21" ht="15" outlineLevel="2">
      <c r="A198" s="22" t="s">
        <v>405</v>
      </c>
      <c r="B198" s="17" t="s">
        <v>78</v>
      </c>
      <c r="C198" s="17" t="s">
        <v>383</v>
      </c>
      <c r="D198" s="20" t="s">
        <v>160</v>
      </c>
      <c r="E198" s="27" t="s">
        <v>161</v>
      </c>
      <c r="F198" s="39" t="s">
        <v>53</v>
      </c>
      <c r="G198" s="18" t="s">
        <v>65</v>
      </c>
      <c r="H198" s="152">
        <v>60.917368399999994</v>
      </c>
      <c r="I198" s="159">
        <v>138</v>
      </c>
      <c r="J198" s="136">
        <f>I198*$J$2</f>
        <v>8.28</v>
      </c>
      <c r="K198" s="152">
        <v>75</v>
      </c>
      <c r="L198" s="154"/>
      <c r="M198" s="154"/>
      <c r="N198" s="152"/>
      <c r="O198" s="17"/>
      <c r="P198" s="152"/>
      <c r="Q198" s="153"/>
      <c r="R198" s="152"/>
      <c r="S198" s="136"/>
      <c r="T198" s="136"/>
      <c r="U198" s="136">
        <f>H198+J198+K198+N198+P198+R198+S198+T198</f>
        <v>144.1973684</v>
      </c>
    </row>
    <row r="199" spans="1:21" ht="15" outlineLevel="2">
      <c r="A199" s="22" t="s">
        <v>405</v>
      </c>
      <c r="B199" s="17" t="s">
        <v>78</v>
      </c>
      <c r="C199" s="17" t="s">
        <v>383</v>
      </c>
      <c r="D199" s="20" t="s">
        <v>160</v>
      </c>
      <c r="E199" s="27" t="s">
        <v>161</v>
      </c>
      <c r="F199" s="39" t="s">
        <v>53</v>
      </c>
      <c r="G199" s="18" t="s">
        <v>66</v>
      </c>
      <c r="H199" s="152">
        <v>4.5614099999999995</v>
      </c>
      <c r="I199" s="159">
        <v>4</v>
      </c>
      <c r="J199" s="136">
        <f>I199*$J$2</f>
        <v>0.24</v>
      </c>
      <c r="K199" s="152">
        <v>0</v>
      </c>
      <c r="L199" s="154"/>
      <c r="M199" s="154"/>
      <c r="N199" s="152"/>
      <c r="O199" s="17"/>
      <c r="P199" s="152"/>
      <c r="Q199" s="153"/>
      <c r="R199" s="152"/>
      <c r="S199" s="136"/>
      <c r="T199" s="136"/>
      <c r="U199" s="136">
        <f>H199+J199+K199+N199+P199+R199+S199+T199</f>
        <v>4.80141</v>
      </c>
    </row>
    <row r="200" spans="1:21" s="5" customFormat="1" ht="15.75">
      <c r="A200" s="50" t="s">
        <v>795</v>
      </c>
      <c r="B200" s="49"/>
      <c r="C200" s="2"/>
      <c r="D200" s="61"/>
      <c r="E200" s="44"/>
      <c r="F200" s="51"/>
      <c r="G200" s="45"/>
      <c r="H200" s="137">
        <f aca="true" t="shared" si="54" ref="H200:U200">SUBTOTAL(9,H195:H199)</f>
        <v>174.57197659999997</v>
      </c>
      <c r="I200" s="167">
        <f t="shared" si="54"/>
        <v>443</v>
      </c>
      <c r="J200" s="137">
        <f t="shared" si="54"/>
        <v>38.300000000000004</v>
      </c>
      <c r="K200" s="137">
        <f t="shared" si="54"/>
        <v>180</v>
      </c>
      <c r="L200" s="141">
        <f t="shared" si="54"/>
        <v>0</v>
      </c>
      <c r="M200" s="141">
        <f t="shared" si="54"/>
        <v>0</v>
      </c>
      <c r="N200" s="137">
        <f t="shared" si="54"/>
        <v>0</v>
      </c>
      <c r="O200" s="169">
        <f t="shared" si="54"/>
        <v>0</v>
      </c>
      <c r="P200" s="137">
        <f t="shared" si="54"/>
        <v>0</v>
      </c>
      <c r="Q200" s="167">
        <f t="shared" si="54"/>
        <v>0</v>
      </c>
      <c r="R200" s="137">
        <f t="shared" si="54"/>
        <v>0</v>
      </c>
      <c r="S200" s="137">
        <f t="shared" si="54"/>
        <v>0</v>
      </c>
      <c r="T200" s="137">
        <f t="shared" si="54"/>
        <v>0</v>
      </c>
      <c r="U200" s="137">
        <f t="shared" si="54"/>
        <v>392.8719766</v>
      </c>
    </row>
    <row r="201" spans="1:21" ht="15" outlineLevel="2">
      <c r="A201" s="6" t="s">
        <v>452</v>
      </c>
      <c r="B201" s="7" t="s">
        <v>78</v>
      </c>
      <c r="C201" s="7" t="s">
        <v>178</v>
      </c>
      <c r="D201" s="7" t="s">
        <v>453</v>
      </c>
      <c r="E201" s="42" t="s">
        <v>186</v>
      </c>
      <c r="F201" s="39" t="s">
        <v>53</v>
      </c>
      <c r="G201" s="24" t="s">
        <v>62</v>
      </c>
      <c r="H201" s="136">
        <v>3329.010343399999</v>
      </c>
      <c r="I201" s="149">
        <v>9862</v>
      </c>
      <c r="J201" s="136">
        <f>I201*$J$1</f>
        <v>986.2</v>
      </c>
      <c r="K201" s="136">
        <v>0</v>
      </c>
      <c r="L201" s="139"/>
      <c r="M201" s="139"/>
      <c r="N201" s="136"/>
      <c r="O201" s="11"/>
      <c r="P201" s="136"/>
      <c r="Q201" s="140"/>
      <c r="R201" s="136"/>
      <c r="S201" s="136"/>
      <c r="T201" s="136"/>
      <c r="U201" s="136">
        <f aca="true" t="shared" si="55" ref="U201:U209">H201+J201+K201+N201+P201+R201+S201+T201</f>
        <v>4315.210343399999</v>
      </c>
    </row>
    <row r="202" spans="1:21" ht="15" outlineLevel="2">
      <c r="A202" s="6" t="s">
        <v>452</v>
      </c>
      <c r="B202" s="7" t="s">
        <v>78</v>
      </c>
      <c r="C202" s="7" t="s">
        <v>178</v>
      </c>
      <c r="D202" s="7" t="s">
        <v>453</v>
      </c>
      <c r="E202" s="42" t="s">
        <v>186</v>
      </c>
      <c r="F202" s="39" t="s">
        <v>53</v>
      </c>
      <c r="G202" s="24" t="s">
        <v>63</v>
      </c>
      <c r="H202" s="136">
        <v>953.145942</v>
      </c>
      <c r="I202" s="149">
        <v>256</v>
      </c>
      <c r="J202" s="136">
        <f>I202*$J$2</f>
        <v>15.36</v>
      </c>
      <c r="K202" s="136">
        <v>0</v>
      </c>
      <c r="L202" s="139"/>
      <c r="M202" s="139"/>
      <c r="N202" s="136"/>
      <c r="O202" s="11"/>
      <c r="P202" s="136"/>
      <c r="Q202" s="140"/>
      <c r="R202" s="136"/>
      <c r="S202" s="136"/>
      <c r="T202" s="136"/>
      <c r="U202" s="136">
        <f t="shared" si="55"/>
        <v>968.505942</v>
      </c>
    </row>
    <row r="203" spans="1:21" ht="15" outlineLevel="2">
      <c r="A203" s="6" t="s">
        <v>452</v>
      </c>
      <c r="B203" s="7" t="s">
        <v>78</v>
      </c>
      <c r="C203" s="7" t="s">
        <v>178</v>
      </c>
      <c r="D203" s="7" t="s">
        <v>453</v>
      </c>
      <c r="E203" s="42" t="s">
        <v>186</v>
      </c>
      <c r="F203" s="39" t="s">
        <v>53</v>
      </c>
      <c r="G203" s="24" t="s">
        <v>64</v>
      </c>
      <c r="H203" s="136">
        <v>2678.3425088</v>
      </c>
      <c r="I203" s="149">
        <v>2365</v>
      </c>
      <c r="J203" s="136">
        <f>I203*$J$2</f>
        <v>141.9</v>
      </c>
      <c r="K203" s="136">
        <v>60</v>
      </c>
      <c r="L203" s="139"/>
      <c r="M203" s="139"/>
      <c r="N203" s="136"/>
      <c r="O203" s="11"/>
      <c r="P203" s="136"/>
      <c r="Q203" s="140"/>
      <c r="R203" s="136"/>
      <c r="S203" s="136"/>
      <c r="T203" s="136"/>
      <c r="U203" s="136">
        <f t="shared" si="55"/>
        <v>2880.2425088</v>
      </c>
    </row>
    <row r="204" spans="1:21" ht="15" outlineLevel="2">
      <c r="A204" s="6" t="s">
        <v>452</v>
      </c>
      <c r="B204" s="7" t="s">
        <v>78</v>
      </c>
      <c r="C204" s="7" t="s">
        <v>178</v>
      </c>
      <c r="D204" s="7" t="s">
        <v>453</v>
      </c>
      <c r="E204" s="42" t="s">
        <v>186</v>
      </c>
      <c r="F204" s="39" t="s">
        <v>53</v>
      </c>
      <c r="G204" s="24" t="s">
        <v>65</v>
      </c>
      <c r="H204" s="136">
        <v>194.572973</v>
      </c>
      <c r="I204" s="149">
        <v>355</v>
      </c>
      <c r="J204" s="136">
        <f>I204*$J$2</f>
        <v>21.3</v>
      </c>
      <c r="K204" s="136">
        <v>15</v>
      </c>
      <c r="L204" s="139"/>
      <c r="M204" s="139"/>
      <c r="N204" s="136"/>
      <c r="O204" s="11"/>
      <c r="P204" s="136"/>
      <c r="Q204" s="140"/>
      <c r="R204" s="136"/>
      <c r="S204" s="136"/>
      <c r="T204" s="136"/>
      <c r="U204" s="136">
        <f t="shared" si="55"/>
        <v>230.872973</v>
      </c>
    </row>
    <row r="205" spans="1:21" ht="15" outlineLevel="2">
      <c r="A205" s="6" t="s">
        <v>452</v>
      </c>
      <c r="B205" s="7" t="s">
        <v>78</v>
      </c>
      <c r="C205" s="7" t="s">
        <v>178</v>
      </c>
      <c r="D205" s="7" t="s">
        <v>453</v>
      </c>
      <c r="E205" s="42" t="s">
        <v>186</v>
      </c>
      <c r="F205" s="39" t="s">
        <v>53</v>
      </c>
      <c r="G205" s="24" t="s">
        <v>66</v>
      </c>
      <c r="H205" s="136">
        <v>1718.1311</v>
      </c>
      <c r="I205" s="149">
        <v>1900</v>
      </c>
      <c r="J205" s="136">
        <f>I205*$J$2</f>
        <v>114</v>
      </c>
      <c r="K205" s="136">
        <v>105</v>
      </c>
      <c r="L205" s="139"/>
      <c r="M205" s="139"/>
      <c r="N205" s="136"/>
      <c r="O205" s="11"/>
      <c r="P205" s="136"/>
      <c r="Q205" s="140"/>
      <c r="R205" s="136"/>
      <c r="S205" s="136"/>
      <c r="T205" s="136"/>
      <c r="U205" s="136">
        <f t="shared" si="55"/>
        <v>1937.1311</v>
      </c>
    </row>
    <row r="206" spans="1:21" ht="15" outlineLevel="2">
      <c r="A206" s="6" t="s">
        <v>452</v>
      </c>
      <c r="B206" s="7" t="s">
        <v>78</v>
      </c>
      <c r="C206" s="7" t="s">
        <v>178</v>
      </c>
      <c r="D206" s="7" t="s">
        <v>453</v>
      </c>
      <c r="E206" s="42" t="s">
        <v>186</v>
      </c>
      <c r="F206" s="39" t="s">
        <v>53</v>
      </c>
      <c r="G206" s="11" t="s">
        <v>167</v>
      </c>
      <c r="H206" s="136">
        <v>0.7235339999999999</v>
      </c>
      <c r="I206" s="140">
        <v>1</v>
      </c>
      <c r="J206" s="136">
        <f>I206*$J$2</f>
        <v>0.06</v>
      </c>
      <c r="K206" s="136">
        <v>0</v>
      </c>
      <c r="L206" s="139"/>
      <c r="M206" s="139"/>
      <c r="N206" s="136"/>
      <c r="O206" s="11"/>
      <c r="P206" s="136"/>
      <c r="Q206" s="140"/>
      <c r="R206" s="136"/>
      <c r="S206" s="136"/>
      <c r="T206" s="136"/>
      <c r="U206" s="136">
        <f t="shared" si="55"/>
        <v>0.783534</v>
      </c>
    </row>
    <row r="207" spans="1:21" ht="15" outlineLevel="2">
      <c r="A207" s="6" t="str">
        <f>A206</f>
        <v>M727</v>
      </c>
      <c r="B207" s="11" t="str">
        <f>B206</f>
        <v>DCHS</v>
      </c>
      <c r="C207" s="11" t="str">
        <f>C206</f>
        <v>ADS</v>
      </c>
      <c r="D207" s="13" t="str">
        <f>D206</f>
        <v>ADSDIVLTCEDXIX</v>
      </c>
      <c r="E207" s="24" t="str">
        <f>E206</f>
        <v>30-55</v>
      </c>
      <c r="F207" s="39" t="s">
        <v>585</v>
      </c>
      <c r="G207" s="24" t="s">
        <v>585</v>
      </c>
      <c r="H207" s="136"/>
      <c r="I207" s="140"/>
      <c r="J207" s="136"/>
      <c r="K207" s="136"/>
      <c r="L207" s="139">
        <v>2</v>
      </c>
      <c r="M207" s="139">
        <v>1</v>
      </c>
      <c r="N207" s="136">
        <f>L207*M207*$N$2</f>
        <v>6270</v>
      </c>
      <c r="O207" s="11"/>
      <c r="P207" s="136"/>
      <c r="Q207" s="140"/>
      <c r="R207" s="136"/>
      <c r="S207" s="136"/>
      <c r="T207" s="136"/>
      <c r="U207" s="136">
        <f t="shared" si="55"/>
        <v>6270</v>
      </c>
    </row>
    <row r="208" spans="1:21" ht="15" outlineLevel="2">
      <c r="A208" s="28" t="s">
        <v>452</v>
      </c>
      <c r="B208" s="11" t="str">
        <f aca="true" t="shared" si="56" ref="B208:E209">B207</f>
        <v>DCHS</v>
      </c>
      <c r="C208" s="11" t="str">
        <f t="shared" si="56"/>
        <v>ADS</v>
      </c>
      <c r="D208" s="13" t="str">
        <f t="shared" si="56"/>
        <v>ADSDIVLTCEDXIX</v>
      </c>
      <c r="E208" s="38" t="str">
        <f t="shared" si="56"/>
        <v>30-55</v>
      </c>
      <c r="F208" s="20" t="s">
        <v>615</v>
      </c>
      <c r="G208" s="11" t="s">
        <v>615</v>
      </c>
      <c r="H208" s="136"/>
      <c r="I208" s="140"/>
      <c r="J208" s="136"/>
      <c r="K208" s="136"/>
      <c r="L208" s="139"/>
      <c r="M208" s="139"/>
      <c r="N208" s="136"/>
      <c r="O208" s="29">
        <f>2.25+1.75</f>
        <v>4</v>
      </c>
      <c r="P208" s="136">
        <f>O208*$P$2</f>
        <v>288</v>
      </c>
      <c r="Q208" s="140"/>
      <c r="R208" s="136"/>
      <c r="S208" s="136"/>
      <c r="T208" s="136"/>
      <c r="U208" s="136">
        <f t="shared" si="55"/>
        <v>288</v>
      </c>
    </row>
    <row r="209" spans="1:21" ht="15" outlineLevel="2">
      <c r="A209" s="36" t="s">
        <v>669</v>
      </c>
      <c r="B209" s="11" t="str">
        <f t="shared" si="56"/>
        <v>DCHS</v>
      </c>
      <c r="C209" s="11" t="str">
        <f t="shared" si="56"/>
        <v>ADS</v>
      </c>
      <c r="D209" s="13" t="str">
        <f t="shared" si="56"/>
        <v>ADSDIVLTCEDXIX</v>
      </c>
      <c r="E209" s="27" t="str">
        <f t="shared" si="56"/>
        <v>30-55</v>
      </c>
      <c r="F209" s="20" t="s">
        <v>683</v>
      </c>
      <c r="G209" s="11" t="s">
        <v>683</v>
      </c>
      <c r="H209" s="136"/>
      <c r="I209" s="140"/>
      <c r="J209" s="136"/>
      <c r="K209" s="136"/>
      <c r="L209" s="139"/>
      <c r="M209" s="139"/>
      <c r="N209" s="136"/>
      <c r="O209" s="34"/>
      <c r="P209" s="136"/>
      <c r="Q209" s="140"/>
      <c r="R209" s="136"/>
      <c r="S209" s="136"/>
      <c r="T209" s="150">
        <f>27.72+32.46</f>
        <v>60.18</v>
      </c>
      <c r="U209" s="136">
        <f t="shared" si="55"/>
        <v>60.18</v>
      </c>
    </row>
    <row r="210" spans="1:21" s="5" customFormat="1" ht="15.75">
      <c r="A210" s="50" t="s">
        <v>796</v>
      </c>
      <c r="B210" s="49"/>
      <c r="C210" s="2"/>
      <c r="D210" s="61"/>
      <c r="E210" s="44"/>
      <c r="F210" s="51"/>
      <c r="G210" s="45"/>
      <c r="H210" s="137">
        <f aca="true" t="shared" si="57" ref="H210:U210">SUBTOTAL(9,H201:H209)</f>
        <v>8873.9264012</v>
      </c>
      <c r="I210" s="167">
        <f t="shared" si="57"/>
        <v>14739</v>
      </c>
      <c r="J210" s="137">
        <f t="shared" si="57"/>
        <v>1278.82</v>
      </c>
      <c r="K210" s="137">
        <f t="shared" si="57"/>
        <v>180</v>
      </c>
      <c r="L210" s="141">
        <f t="shared" si="57"/>
        <v>2</v>
      </c>
      <c r="M210" s="141">
        <f t="shared" si="57"/>
        <v>1</v>
      </c>
      <c r="N210" s="137">
        <f t="shared" si="57"/>
        <v>6270</v>
      </c>
      <c r="O210" s="169">
        <f t="shared" si="57"/>
        <v>4</v>
      </c>
      <c r="P210" s="137">
        <f t="shared" si="57"/>
        <v>288</v>
      </c>
      <c r="Q210" s="167">
        <f t="shared" si="57"/>
        <v>0</v>
      </c>
      <c r="R210" s="137">
        <f t="shared" si="57"/>
        <v>0</v>
      </c>
      <c r="S210" s="137">
        <f t="shared" si="57"/>
        <v>0</v>
      </c>
      <c r="T210" s="137">
        <f t="shared" si="57"/>
        <v>60.18</v>
      </c>
      <c r="U210" s="137">
        <f t="shared" si="57"/>
        <v>16950.9264012</v>
      </c>
    </row>
    <row r="211" spans="1:21" ht="15" outlineLevel="2">
      <c r="A211" s="6" t="s">
        <v>540</v>
      </c>
      <c r="B211" s="7" t="s">
        <v>78</v>
      </c>
      <c r="C211" s="7" t="s">
        <v>178</v>
      </c>
      <c r="D211" s="7" t="s">
        <v>190</v>
      </c>
      <c r="E211" s="42" t="s">
        <v>186</v>
      </c>
      <c r="F211" s="39" t="s">
        <v>53</v>
      </c>
      <c r="G211" s="11" t="s">
        <v>62</v>
      </c>
      <c r="H211" s="136">
        <v>0.3271632</v>
      </c>
      <c r="I211" s="140">
        <v>1</v>
      </c>
      <c r="J211" s="136">
        <f>I211*$J$1</f>
        <v>0.1</v>
      </c>
      <c r="K211" s="136">
        <v>15</v>
      </c>
      <c r="L211" s="139"/>
      <c r="M211" s="139"/>
      <c r="N211" s="136"/>
      <c r="O211" s="11"/>
      <c r="P211" s="136"/>
      <c r="Q211" s="140"/>
      <c r="R211" s="136"/>
      <c r="S211" s="136"/>
      <c r="T211" s="136"/>
      <c r="U211" s="136">
        <f>H211+J211+K211+N211+P211+R211+S211+T211</f>
        <v>15.4271632</v>
      </c>
    </row>
    <row r="212" spans="1:21" s="5" customFormat="1" ht="15.75">
      <c r="A212" s="50" t="s">
        <v>797</v>
      </c>
      <c r="B212" s="49"/>
      <c r="C212" s="2"/>
      <c r="D212" s="61"/>
      <c r="E212" s="44"/>
      <c r="F212" s="51"/>
      <c r="G212" s="45"/>
      <c r="H212" s="137">
        <f aca="true" t="shared" si="58" ref="H212:U212">SUBTOTAL(9,H211:H211)</f>
        <v>0.3271632</v>
      </c>
      <c r="I212" s="167">
        <f t="shared" si="58"/>
        <v>1</v>
      </c>
      <c r="J212" s="137">
        <f t="shared" si="58"/>
        <v>0.1</v>
      </c>
      <c r="K212" s="137">
        <f t="shared" si="58"/>
        <v>15</v>
      </c>
      <c r="L212" s="141">
        <f t="shared" si="58"/>
        <v>0</v>
      </c>
      <c r="M212" s="141">
        <f t="shared" si="58"/>
        <v>0</v>
      </c>
      <c r="N212" s="137">
        <f t="shared" si="58"/>
        <v>0</v>
      </c>
      <c r="O212" s="169">
        <f t="shared" si="58"/>
        <v>0</v>
      </c>
      <c r="P212" s="137">
        <f t="shared" si="58"/>
        <v>0</v>
      </c>
      <c r="Q212" s="167">
        <f t="shared" si="58"/>
        <v>0</v>
      </c>
      <c r="R212" s="137">
        <f t="shared" si="58"/>
        <v>0</v>
      </c>
      <c r="S212" s="137">
        <f t="shared" si="58"/>
        <v>0</v>
      </c>
      <c r="T212" s="137">
        <f t="shared" si="58"/>
        <v>0</v>
      </c>
      <c r="U212" s="137">
        <f t="shared" si="58"/>
        <v>15.4271632</v>
      </c>
    </row>
    <row r="213" spans="1:21" ht="15" outlineLevel="2">
      <c r="A213" s="6" t="s">
        <v>541</v>
      </c>
      <c r="B213" s="7" t="s">
        <v>78</v>
      </c>
      <c r="C213" s="7" t="s">
        <v>178</v>
      </c>
      <c r="D213" s="7" t="s">
        <v>192</v>
      </c>
      <c r="E213" s="42" t="s">
        <v>186</v>
      </c>
      <c r="F213" s="39" t="s">
        <v>53</v>
      </c>
      <c r="G213" s="11" t="s">
        <v>63</v>
      </c>
      <c r="H213" s="136">
        <v>11.11516</v>
      </c>
      <c r="I213" s="140">
        <v>2</v>
      </c>
      <c r="J213" s="136">
        <f>I213*$J$2</f>
        <v>0.12</v>
      </c>
      <c r="K213" s="136">
        <v>15</v>
      </c>
      <c r="L213" s="139"/>
      <c r="M213" s="139"/>
      <c r="N213" s="136"/>
      <c r="O213" s="11"/>
      <c r="P213" s="136"/>
      <c r="Q213" s="140"/>
      <c r="R213" s="136"/>
      <c r="S213" s="136"/>
      <c r="T213" s="136"/>
      <c r="U213" s="136">
        <f>H213+J213+K213+N213+P213+R213+S213+T213</f>
        <v>26.23516</v>
      </c>
    </row>
    <row r="214" spans="1:21" s="5" customFormat="1" ht="15.75">
      <c r="A214" s="50" t="s">
        <v>798</v>
      </c>
      <c r="B214" s="49"/>
      <c r="C214" s="2"/>
      <c r="D214" s="61"/>
      <c r="E214" s="44"/>
      <c r="F214" s="51"/>
      <c r="G214" s="45"/>
      <c r="H214" s="137">
        <f aca="true" t="shared" si="59" ref="H214:U214">SUBTOTAL(9,H213:H213)</f>
        <v>11.11516</v>
      </c>
      <c r="I214" s="167">
        <f t="shared" si="59"/>
        <v>2</v>
      </c>
      <c r="J214" s="137">
        <f t="shared" si="59"/>
        <v>0.12</v>
      </c>
      <c r="K214" s="137">
        <f t="shared" si="59"/>
        <v>15</v>
      </c>
      <c r="L214" s="141">
        <f t="shared" si="59"/>
        <v>0</v>
      </c>
      <c r="M214" s="141">
        <f t="shared" si="59"/>
        <v>0</v>
      </c>
      <c r="N214" s="137">
        <f t="shared" si="59"/>
        <v>0</v>
      </c>
      <c r="O214" s="169">
        <f t="shared" si="59"/>
        <v>0</v>
      </c>
      <c r="P214" s="137">
        <f t="shared" si="59"/>
        <v>0</v>
      </c>
      <c r="Q214" s="167">
        <f t="shared" si="59"/>
        <v>0</v>
      </c>
      <c r="R214" s="137">
        <f t="shared" si="59"/>
        <v>0</v>
      </c>
      <c r="S214" s="137">
        <f t="shared" si="59"/>
        <v>0</v>
      </c>
      <c r="T214" s="137">
        <f t="shared" si="59"/>
        <v>0</v>
      </c>
      <c r="U214" s="137">
        <f t="shared" si="59"/>
        <v>26.23516</v>
      </c>
    </row>
    <row r="215" spans="1:21" ht="15" outlineLevel="2">
      <c r="A215" s="6" t="s">
        <v>542</v>
      </c>
      <c r="B215" s="7" t="s">
        <v>78</v>
      </c>
      <c r="C215" s="7" t="s">
        <v>178</v>
      </c>
      <c r="D215" s="7" t="s">
        <v>543</v>
      </c>
      <c r="E215" s="42" t="s">
        <v>186</v>
      </c>
      <c r="F215" s="39" t="s">
        <v>53</v>
      </c>
      <c r="G215" s="24" t="s">
        <v>62</v>
      </c>
      <c r="H215" s="136">
        <v>720.0599882000004</v>
      </c>
      <c r="I215" s="149">
        <v>2046</v>
      </c>
      <c r="J215" s="136">
        <f>I215*$J$1</f>
        <v>204.60000000000002</v>
      </c>
      <c r="K215" s="136">
        <v>30</v>
      </c>
      <c r="L215" s="139"/>
      <c r="M215" s="139"/>
      <c r="N215" s="136"/>
      <c r="O215" s="11"/>
      <c r="P215" s="136"/>
      <c r="Q215" s="140"/>
      <c r="R215" s="136"/>
      <c r="S215" s="136"/>
      <c r="T215" s="136"/>
      <c r="U215" s="136">
        <f aca="true" t="shared" si="60" ref="U215:U221">H215+J215+K215+N215+P215+R215+S215+T215</f>
        <v>954.6599882000004</v>
      </c>
    </row>
    <row r="216" spans="1:21" ht="15" outlineLevel="2">
      <c r="A216" s="6" t="s">
        <v>542</v>
      </c>
      <c r="B216" s="7" t="s">
        <v>78</v>
      </c>
      <c r="C216" s="7" t="s">
        <v>178</v>
      </c>
      <c r="D216" s="7" t="s">
        <v>543</v>
      </c>
      <c r="E216" s="42" t="s">
        <v>186</v>
      </c>
      <c r="F216" s="39" t="s">
        <v>53</v>
      </c>
      <c r="G216" s="24" t="s">
        <v>63</v>
      </c>
      <c r="H216" s="136">
        <v>261.793476</v>
      </c>
      <c r="I216" s="149">
        <v>63</v>
      </c>
      <c r="J216" s="136">
        <f>I216*$J$2</f>
        <v>3.78</v>
      </c>
      <c r="K216" s="136">
        <v>45</v>
      </c>
      <c r="L216" s="139"/>
      <c r="M216" s="139"/>
      <c r="N216" s="136"/>
      <c r="O216" s="11"/>
      <c r="P216" s="136"/>
      <c r="Q216" s="140"/>
      <c r="R216" s="136"/>
      <c r="S216" s="136"/>
      <c r="T216" s="136"/>
      <c r="U216" s="136">
        <f t="shared" si="60"/>
        <v>310.57347599999997</v>
      </c>
    </row>
    <row r="217" spans="1:21" ht="15" outlineLevel="2">
      <c r="A217" s="6" t="s">
        <v>542</v>
      </c>
      <c r="B217" s="7" t="s">
        <v>78</v>
      </c>
      <c r="C217" s="7" t="s">
        <v>178</v>
      </c>
      <c r="D217" s="7" t="s">
        <v>543</v>
      </c>
      <c r="E217" s="42" t="s">
        <v>186</v>
      </c>
      <c r="F217" s="39" t="s">
        <v>53</v>
      </c>
      <c r="G217" s="24" t="s">
        <v>64</v>
      </c>
      <c r="H217" s="136">
        <v>585.989138</v>
      </c>
      <c r="I217" s="149">
        <v>434</v>
      </c>
      <c r="J217" s="136">
        <f>I217*$J$2</f>
        <v>26.04</v>
      </c>
      <c r="K217" s="136">
        <v>45</v>
      </c>
      <c r="L217" s="139"/>
      <c r="M217" s="139"/>
      <c r="N217" s="136"/>
      <c r="O217" s="11"/>
      <c r="P217" s="136"/>
      <c r="Q217" s="140"/>
      <c r="R217" s="136"/>
      <c r="S217" s="136"/>
      <c r="T217" s="136"/>
      <c r="U217" s="136">
        <f t="shared" si="60"/>
        <v>657.029138</v>
      </c>
    </row>
    <row r="218" spans="1:21" ht="15" outlineLevel="2">
      <c r="A218" s="6" t="s">
        <v>542</v>
      </c>
      <c r="B218" s="7" t="s">
        <v>78</v>
      </c>
      <c r="C218" s="7" t="s">
        <v>178</v>
      </c>
      <c r="D218" s="7" t="s">
        <v>543</v>
      </c>
      <c r="E218" s="42" t="s">
        <v>186</v>
      </c>
      <c r="F218" s="39" t="s">
        <v>53</v>
      </c>
      <c r="G218" s="24" t="s">
        <v>65</v>
      </c>
      <c r="H218" s="136">
        <v>193.44572799999997</v>
      </c>
      <c r="I218" s="149">
        <v>311</v>
      </c>
      <c r="J218" s="136">
        <f>I218*$J$2</f>
        <v>18.66</v>
      </c>
      <c r="K218" s="136">
        <v>15</v>
      </c>
      <c r="L218" s="139"/>
      <c r="M218" s="139"/>
      <c r="N218" s="136"/>
      <c r="O218" s="11"/>
      <c r="P218" s="136"/>
      <c r="Q218" s="140"/>
      <c r="R218" s="136"/>
      <c r="S218" s="136"/>
      <c r="T218" s="136"/>
      <c r="U218" s="136">
        <f t="shared" si="60"/>
        <v>227.10572799999997</v>
      </c>
    </row>
    <row r="219" spans="1:21" ht="15" outlineLevel="2">
      <c r="A219" s="6" t="s">
        <v>542</v>
      </c>
      <c r="B219" s="7" t="s">
        <v>78</v>
      </c>
      <c r="C219" s="7" t="s">
        <v>178</v>
      </c>
      <c r="D219" s="7" t="s">
        <v>543</v>
      </c>
      <c r="E219" s="42" t="s">
        <v>186</v>
      </c>
      <c r="F219" s="39" t="s">
        <v>53</v>
      </c>
      <c r="G219" s="24" t="s">
        <v>66</v>
      </c>
      <c r="H219" s="136">
        <v>386.5076684</v>
      </c>
      <c r="I219" s="149">
        <v>393</v>
      </c>
      <c r="J219" s="136">
        <f>I219*$J$2</f>
        <v>23.58</v>
      </c>
      <c r="K219" s="136">
        <v>45</v>
      </c>
      <c r="L219" s="139"/>
      <c r="M219" s="139"/>
      <c r="N219" s="136"/>
      <c r="O219" s="11"/>
      <c r="P219" s="136"/>
      <c r="Q219" s="140"/>
      <c r="R219" s="136"/>
      <c r="S219" s="136"/>
      <c r="T219" s="136"/>
      <c r="U219" s="136">
        <f t="shared" si="60"/>
        <v>455.0876684</v>
      </c>
    </row>
    <row r="220" spans="1:21" ht="15" outlineLevel="2">
      <c r="A220" s="6" t="s">
        <v>542</v>
      </c>
      <c r="B220" s="7" t="s">
        <v>78</v>
      </c>
      <c r="C220" s="7" t="s">
        <v>178</v>
      </c>
      <c r="D220" s="7" t="s">
        <v>543</v>
      </c>
      <c r="E220" s="16" t="s">
        <v>186</v>
      </c>
      <c r="F220" s="39" t="s">
        <v>615</v>
      </c>
      <c r="G220" s="16" t="s">
        <v>615</v>
      </c>
      <c r="H220" s="136"/>
      <c r="I220" s="149"/>
      <c r="J220" s="136"/>
      <c r="K220" s="136"/>
      <c r="L220" s="139"/>
      <c r="M220" s="139"/>
      <c r="N220" s="136"/>
      <c r="O220" s="34">
        <v>1</v>
      </c>
      <c r="P220" s="136">
        <f>O220*$P$2</f>
        <v>72</v>
      </c>
      <c r="Q220" s="140"/>
      <c r="R220" s="136"/>
      <c r="S220" s="136"/>
      <c r="T220" s="136"/>
      <c r="U220" s="136">
        <f t="shared" si="60"/>
        <v>72</v>
      </c>
    </row>
    <row r="221" spans="1:21" ht="15" outlineLevel="2">
      <c r="A221" s="36" t="s">
        <v>681</v>
      </c>
      <c r="B221" s="11" t="str">
        <f>B220</f>
        <v>DCHS</v>
      </c>
      <c r="C221" s="11" t="str">
        <f>C220</f>
        <v>ADS</v>
      </c>
      <c r="D221" s="13" t="str">
        <f>D220</f>
        <v>ADSDIVLTCNFXIX</v>
      </c>
      <c r="E221" s="27" t="str">
        <f>E220</f>
        <v>30-55</v>
      </c>
      <c r="F221" s="20" t="s">
        <v>683</v>
      </c>
      <c r="G221" s="11" t="s">
        <v>683</v>
      </c>
      <c r="H221" s="136"/>
      <c r="I221" s="140"/>
      <c r="J221" s="136"/>
      <c r="K221" s="136"/>
      <c r="L221" s="139"/>
      <c r="M221" s="139"/>
      <c r="N221" s="136"/>
      <c r="O221" s="34"/>
      <c r="P221" s="136"/>
      <c r="Q221" s="140"/>
      <c r="R221" s="136"/>
      <c r="S221" s="136"/>
      <c r="T221" s="150">
        <v>4.65</v>
      </c>
      <c r="U221" s="136">
        <f t="shared" si="60"/>
        <v>4.65</v>
      </c>
    </row>
    <row r="222" spans="1:21" s="5" customFormat="1" ht="15.75">
      <c r="A222" s="50" t="s">
        <v>799</v>
      </c>
      <c r="B222" s="49"/>
      <c r="C222" s="2"/>
      <c r="D222" s="61"/>
      <c r="E222" s="44"/>
      <c r="F222" s="51"/>
      <c r="G222" s="45"/>
      <c r="H222" s="137">
        <f aca="true" t="shared" si="61" ref="H222:U222">SUBTOTAL(9,H215:H221)</f>
        <v>2147.7959986</v>
      </c>
      <c r="I222" s="167">
        <f t="shared" si="61"/>
        <v>3247</v>
      </c>
      <c r="J222" s="137">
        <f t="shared" si="61"/>
        <v>276.66</v>
      </c>
      <c r="K222" s="137">
        <f t="shared" si="61"/>
        <v>180</v>
      </c>
      <c r="L222" s="141">
        <f t="shared" si="61"/>
        <v>0</v>
      </c>
      <c r="M222" s="141">
        <f t="shared" si="61"/>
        <v>0</v>
      </c>
      <c r="N222" s="137">
        <f t="shared" si="61"/>
        <v>0</v>
      </c>
      <c r="O222" s="169">
        <f t="shared" si="61"/>
        <v>1</v>
      </c>
      <c r="P222" s="137">
        <f t="shared" si="61"/>
        <v>72</v>
      </c>
      <c r="Q222" s="167">
        <f t="shared" si="61"/>
        <v>0</v>
      </c>
      <c r="R222" s="137">
        <f t="shared" si="61"/>
        <v>0</v>
      </c>
      <c r="S222" s="137">
        <f t="shared" si="61"/>
        <v>0</v>
      </c>
      <c r="T222" s="137">
        <f t="shared" si="61"/>
        <v>4.65</v>
      </c>
      <c r="U222" s="137">
        <f t="shared" si="61"/>
        <v>2681.1059986000005</v>
      </c>
    </row>
    <row r="223" spans="1:21" ht="15" outlineLevel="2">
      <c r="A223" s="30" t="s">
        <v>616</v>
      </c>
      <c r="B223" s="7" t="s">
        <v>78</v>
      </c>
      <c r="C223" s="43" t="s">
        <v>163</v>
      </c>
      <c r="D223" s="13" t="s">
        <v>625</v>
      </c>
      <c r="E223" s="27" t="s">
        <v>89</v>
      </c>
      <c r="F223" s="20" t="s">
        <v>615</v>
      </c>
      <c r="G223" s="11" t="s">
        <v>615</v>
      </c>
      <c r="H223" s="136"/>
      <c r="I223" s="140"/>
      <c r="J223" s="136"/>
      <c r="K223" s="136"/>
      <c r="L223" s="139"/>
      <c r="M223" s="139"/>
      <c r="N223" s="136"/>
      <c r="O223" s="35">
        <v>1</v>
      </c>
      <c r="P223" s="136">
        <f>O223*$P$2</f>
        <v>72</v>
      </c>
      <c r="Q223" s="140"/>
      <c r="R223" s="136"/>
      <c r="S223" s="136"/>
      <c r="T223" s="136"/>
      <c r="U223" s="136">
        <f>H223+J223+K223+N223+P223+R223+S223+T223</f>
        <v>72</v>
      </c>
    </row>
    <row r="224" spans="1:21" s="5" customFormat="1" ht="15.75">
      <c r="A224" s="50" t="s">
        <v>766</v>
      </c>
      <c r="B224" s="49"/>
      <c r="C224" s="2"/>
      <c r="D224" s="61"/>
      <c r="E224" s="44"/>
      <c r="F224" s="51"/>
      <c r="G224" s="45"/>
      <c r="H224" s="137">
        <f aca="true" t="shared" si="62" ref="H224:U224">SUBTOTAL(9,H223:H223)</f>
        <v>0</v>
      </c>
      <c r="I224" s="167">
        <f t="shared" si="62"/>
        <v>0</v>
      </c>
      <c r="J224" s="137">
        <f t="shared" si="62"/>
        <v>0</v>
      </c>
      <c r="K224" s="137">
        <f t="shared" si="62"/>
        <v>0</v>
      </c>
      <c r="L224" s="141">
        <f t="shared" si="62"/>
        <v>0</v>
      </c>
      <c r="M224" s="141">
        <f t="shared" si="62"/>
        <v>0</v>
      </c>
      <c r="N224" s="137">
        <f t="shared" si="62"/>
        <v>0</v>
      </c>
      <c r="O224" s="169">
        <f t="shared" si="62"/>
        <v>1</v>
      </c>
      <c r="P224" s="137">
        <f t="shared" si="62"/>
        <v>72</v>
      </c>
      <c r="Q224" s="167">
        <f t="shared" si="62"/>
        <v>0</v>
      </c>
      <c r="R224" s="137">
        <f t="shared" si="62"/>
        <v>0</v>
      </c>
      <c r="S224" s="137">
        <f t="shared" si="62"/>
        <v>0</v>
      </c>
      <c r="T224" s="137">
        <f t="shared" si="62"/>
        <v>0</v>
      </c>
      <c r="U224" s="137">
        <f t="shared" si="62"/>
        <v>72</v>
      </c>
    </row>
    <row r="225" spans="1:21" s="5" customFormat="1" ht="15.75">
      <c r="A225" s="50" t="s">
        <v>633</v>
      </c>
      <c r="B225" s="49"/>
      <c r="C225" s="2"/>
      <c r="D225" s="61"/>
      <c r="E225" s="44"/>
      <c r="F225" s="51"/>
      <c r="G225" s="45"/>
      <c r="H225" s="137">
        <f aca="true" t="shared" si="63" ref="H225:U225">SUBTOTAL(9,H4:H223)</f>
        <v>92746.32428180001</v>
      </c>
      <c r="I225" s="167">
        <f t="shared" si="63"/>
        <v>158434</v>
      </c>
      <c r="J225" s="137">
        <f t="shared" si="63"/>
        <v>13361.400000000003</v>
      </c>
      <c r="K225" s="137">
        <f t="shared" si="63"/>
        <v>4290</v>
      </c>
      <c r="L225" s="141">
        <f t="shared" si="63"/>
        <v>18.2</v>
      </c>
      <c r="M225" s="141">
        <f t="shared" si="63"/>
        <v>9.933</v>
      </c>
      <c r="N225" s="137">
        <f t="shared" si="63"/>
        <v>34742.07</v>
      </c>
      <c r="O225" s="169">
        <f t="shared" si="63"/>
        <v>62</v>
      </c>
      <c r="P225" s="137">
        <f t="shared" si="63"/>
        <v>4464</v>
      </c>
      <c r="Q225" s="167">
        <f t="shared" si="63"/>
        <v>0</v>
      </c>
      <c r="R225" s="137">
        <f t="shared" si="63"/>
        <v>372.88</v>
      </c>
      <c r="S225" s="137">
        <f t="shared" si="63"/>
        <v>0</v>
      </c>
      <c r="T225" s="137">
        <f t="shared" si="63"/>
        <v>217.58</v>
      </c>
      <c r="U225" s="137">
        <f t="shared" si="63"/>
        <v>150194.25428179992</v>
      </c>
    </row>
  </sheetData>
  <autoFilter ref="A3:U223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9"/>
  <sheetViews>
    <sheetView zoomScale="80" zoomScaleNormal="80" workbookViewId="0" topLeftCell="L15">
      <selection activeCell="U199" sqref="U199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hidden="1" outlineLevel="2">
      <c r="A4" s="6" t="s">
        <v>146</v>
      </c>
      <c r="B4" s="7" t="s">
        <v>147</v>
      </c>
      <c r="C4" s="7" t="s">
        <v>148</v>
      </c>
      <c r="D4" s="8" t="s">
        <v>149</v>
      </c>
      <c r="E4" s="42" t="s">
        <v>150</v>
      </c>
      <c r="F4" s="39" t="s">
        <v>53</v>
      </c>
      <c r="G4" s="24" t="s">
        <v>62</v>
      </c>
      <c r="H4" s="136">
        <v>16630.768736399976</v>
      </c>
      <c r="I4" s="149">
        <v>50375</v>
      </c>
      <c r="J4" s="136">
        <f>I4*$J$1</f>
        <v>5037.5</v>
      </c>
      <c r="K4" s="136">
        <v>0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4">H4+J4+K4+N4+P4+R4+S4+T4</f>
        <v>21668.268736399976</v>
      </c>
    </row>
    <row r="5" spans="1:21" ht="15" hidden="1" outlineLevel="2">
      <c r="A5" s="6" t="s">
        <v>146</v>
      </c>
      <c r="B5" s="7" t="s">
        <v>147</v>
      </c>
      <c r="C5" s="7" t="s">
        <v>148</v>
      </c>
      <c r="D5" s="8" t="s">
        <v>149</v>
      </c>
      <c r="E5" s="42" t="s">
        <v>150</v>
      </c>
      <c r="F5" s="39" t="s">
        <v>53</v>
      </c>
      <c r="G5" s="24" t="s">
        <v>63</v>
      </c>
      <c r="H5" s="136">
        <v>292.92641000000003</v>
      </c>
      <c r="I5" s="149">
        <v>122</v>
      </c>
      <c r="J5" s="136">
        <f>I5*$J$2</f>
        <v>7.319999999999999</v>
      </c>
      <c r="K5" s="136">
        <v>15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315.24641</v>
      </c>
    </row>
    <row r="6" spans="1:21" ht="15" hidden="1" outlineLevel="2">
      <c r="A6" s="6" t="s">
        <v>146</v>
      </c>
      <c r="B6" s="7" t="s">
        <v>147</v>
      </c>
      <c r="C6" s="7" t="s">
        <v>148</v>
      </c>
      <c r="D6" s="8" t="s">
        <v>149</v>
      </c>
      <c r="E6" s="42" t="s">
        <v>150</v>
      </c>
      <c r="F6" s="39" t="s">
        <v>53</v>
      </c>
      <c r="G6" s="24" t="s">
        <v>64</v>
      </c>
      <c r="H6" s="136">
        <v>369.31062839999987</v>
      </c>
      <c r="I6" s="149">
        <v>316</v>
      </c>
      <c r="J6" s="136">
        <f>I6*$J$2</f>
        <v>18.96</v>
      </c>
      <c r="K6" s="136">
        <v>15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403.27062839999985</v>
      </c>
    </row>
    <row r="7" spans="1:21" ht="15" hidden="1" outlineLevel="2">
      <c r="A7" s="6" t="s">
        <v>146</v>
      </c>
      <c r="B7" s="7" t="s">
        <v>147</v>
      </c>
      <c r="C7" s="7" t="s">
        <v>148</v>
      </c>
      <c r="D7" s="8" t="s">
        <v>149</v>
      </c>
      <c r="E7" s="42" t="s">
        <v>150</v>
      </c>
      <c r="F7" s="39" t="s">
        <v>53</v>
      </c>
      <c r="G7" s="24" t="s">
        <v>65</v>
      </c>
      <c r="H7" s="136">
        <v>666.3936888000007</v>
      </c>
      <c r="I7" s="149">
        <v>1392</v>
      </c>
      <c r="J7" s="136">
        <f>I7*$J$2</f>
        <v>83.52</v>
      </c>
      <c r="K7" s="136">
        <v>75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824.9136888000007</v>
      </c>
    </row>
    <row r="8" spans="1:21" ht="15" hidden="1" outlineLevel="2">
      <c r="A8" s="6" t="s">
        <v>146</v>
      </c>
      <c r="B8" s="7" t="s">
        <v>147</v>
      </c>
      <c r="C8" s="7" t="s">
        <v>148</v>
      </c>
      <c r="D8" s="8" t="s">
        <v>149</v>
      </c>
      <c r="E8" s="42" t="s">
        <v>150</v>
      </c>
      <c r="F8" s="39" t="s">
        <v>53</v>
      </c>
      <c r="G8" s="24" t="s">
        <v>66</v>
      </c>
      <c r="H8" s="136">
        <v>175.9540314</v>
      </c>
      <c r="I8" s="149">
        <v>165</v>
      </c>
      <c r="J8" s="136">
        <f>I8*$J$2</f>
        <v>9.9</v>
      </c>
      <c r="K8" s="136">
        <v>75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260.8540314</v>
      </c>
    </row>
    <row r="9" spans="1:21" ht="15" hidden="1" outlineLevel="2">
      <c r="A9" s="6" t="s">
        <v>146</v>
      </c>
      <c r="B9" s="7" t="s">
        <v>147</v>
      </c>
      <c r="C9" s="7" t="s">
        <v>148</v>
      </c>
      <c r="D9" s="8" t="s">
        <v>149</v>
      </c>
      <c r="E9" s="42" t="s">
        <v>150</v>
      </c>
      <c r="F9" s="39" t="s">
        <v>53</v>
      </c>
      <c r="G9" s="11" t="s">
        <v>90</v>
      </c>
      <c r="H9" s="136">
        <v>0.859852</v>
      </c>
      <c r="I9" s="140">
        <v>2</v>
      </c>
      <c r="J9" s="136">
        <f>I9*$J$2</f>
        <v>0.12</v>
      </c>
      <c r="K9" s="136">
        <v>0</v>
      </c>
      <c r="L9" s="139"/>
      <c r="M9" s="139"/>
      <c r="N9" s="136"/>
      <c r="O9" s="11"/>
      <c r="P9" s="136"/>
      <c r="Q9" s="140"/>
      <c r="R9" s="136"/>
      <c r="S9" s="136"/>
      <c r="T9" s="136"/>
      <c r="U9" s="136">
        <f t="shared" si="0"/>
        <v>0.979852</v>
      </c>
    </row>
    <row r="10" spans="1:21" ht="15" hidden="1" outlineLevel="2">
      <c r="A10" s="6" t="s">
        <v>146</v>
      </c>
      <c r="B10" s="7" t="s">
        <v>147</v>
      </c>
      <c r="C10" s="7" t="s">
        <v>148</v>
      </c>
      <c r="D10" s="8" t="s">
        <v>149</v>
      </c>
      <c r="E10" s="42" t="s">
        <v>150</v>
      </c>
      <c r="F10" s="39" t="s">
        <v>585</v>
      </c>
      <c r="G10" s="7" t="s">
        <v>585</v>
      </c>
      <c r="H10" s="136"/>
      <c r="I10" s="140"/>
      <c r="J10" s="136"/>
      <c r="K10" s="136"/>
      <c r="L10" s="139">
        <v>2</v>
      </c>
      <c r="M10" s="139">
        <v>1</v>
      </c>
      <c r="N10" s="136">
        <f>L10*M10*$N$2</f>
        <v>6270</v>
      </c>
      <c r="O10" s="11"/>
      <c r="P10" s="136"/>
      <c r="Q10" s="140"/>
      <c r="R10" s="136"/>
      <c r="S10" s="136"/>
      <c r="T10" s="136"/>
      <c r="U10" s="136">
        <f t="shared" si="0"/>
        <v>6270</v>
      </c>
    </row>
    <row r="11" spans="1:21" ht="15" hidden="1" outlineLevel="2">
      <c r="A11" s="28" t="s">
        <v>146</v>
      </c>
      <c r="B11" s="11" t="str">
        <f>B10</f>
        <v>DCJ</v>
      </c>
      <c r="C11" s="11" t="str">
        <f>C10</f>
        <v>DIRECTOR'S OFFICE</v>
      </c>
      <c r="D11" s="13" t="str">
        <f>D10</f>
        <v>509600</v>
      </c>
      <c r="E11" s="38" t="str">
        <f>E10</f>
        <v>50-00</v>
      </c>
      <c r="F11" s="20" t="s">
        <v>615</v>
      </c>
      <c r="G11" s="11" t="s">
        <v>615</v>
      </c>
      <c r="H11" s="136"/>
      <c r="I11" s="140"/>
      <c r="J11" s="136"/>
      <c r="K11" s="136"/>
      <c r="L11" s="139"/>
      <c r="M11" s="139"/>
      <c r="N11" s="136"/>
      <c r="O11" s="29">
        <f>4.5+4.75</f>
        <v>9.25</v>
      </c>
      <c r="P11" s="136">
        <f>O11*$P$2</f>
        <v>666</v>
      </c>
      <c r="Q11" s="140"/>
      <c r="R11" s="136"/>
      <c r="S11" s="136"/>
      <c r="T11" s="136"/>
      <c r="U11" s="136">
        <f t="shared" si="0"/>
        <v>666</v>
      </c>
    </row>
    <row r="12" spans="1:21" ht="15" hidden="1" outlineLevel="2">
      <c r="A12" s="28" t="s">
        <v>146</v>
      </c>
      <c r="B12" s="11" t="str">
        <f>B10</f>
        <v>DCJ</v>
      </c>
      <c r="C12" s="11" t="str">
        <f>C10</f>
        <v>DIRECTOR'S OFFICE</v>
      </c>
      <c r="D12" s="13" t="str">
        <f>D10</f>
        <v>509600</v>
      </c>
      <c r="E12" s="38" t="str">
        <f>E10</f>
        <v>50-00</v>
      </c>
      <c r="F12" s="20" t="s">
        <v>53</v>
      </c>
      <c r="G12" s="11" t="s">
        <v>684</v>
      </c>
      <c r="H12" s="136"/>
      <c r="I12" s="140"/>
      <c r="J12" s="136"/>
      <c r="K12" s="136"/>
      <c r="L12" s="139"/>
      <c r="M12" s="139"/>
      <c r="N12" s="136"/>
      <c r="O12" s="29"/>
      <c r="P12" s="136"/>
      <c r="Q12" s="140"/>
      <c r="R12" s="136">
        <v>741.1</v>
      </c>
      <c r="S12" s="136"/>
      <c r="T12" s="136"/>
      <c r="U12" s="136">
        <f t="shared" si="0"/>
        <v>741.1</v>
      </c>
    </row>
    <row r="13" spans="1:21" ht="15" hidden="1" outlineLevel="2">
      <c r="A13" s="28" t="s">
        <v>146</v>
      </c>
      <c r="B13" s="11" t="str">
        <f>B10</f>
        <v>DCJ</v>
      </c>
      <c r="C13" s="11" t="str">
        <f>C10</f>
        <v>DIRECTOR'S OFFICE</v>
      </c>
      <c r="D13" s="13" t="str">
        <f>D10</f>
        <v>509600</v>
      </c>
      <c r="E13" s="38" t="str">
        <f>E10</f>
        <v>50-00</v>
      </c>
      <c r="F13" s="20" t="s">
        <v>53</v>
      </c>
      <c r="G13" s="11" t="s">
        <v>687</v>
      </c>
      <c r="H13" s="136"/>
      <c r="I13" s="140"/>
      <c r="J13" s="136"/>
      <c r="K13" s="136"/>
      <c r="L13" s="139"/>
      <c r="M13" s="139"/>
      <c r="N13" s="136"/>
      <c r="O13" s="29"/>
      <c r="P13" s="136"/>
      <c r="Q13" s="140"/>
      <c r="R13" s="136">
        <v>3443.6</v>
      </c>
      <c r="S13" s="136"/>
      <c r="T13" s="136"/>
      <c r="U13" s="136">
        <f t="shared" si="0"/>
        <v>3443.6</v>
      </c>
    </row>
    <row r="14" spans="1:21" ht="15" hidden="1" outlineLevel="2">
      <c r="A14" s="28" t="s">
        <v>146</v>
      </c>
      <c r="B14" s="11" t="str">
        <f>B10</f>
        <v>DCJ</v>
      </c>
      <c r="C14" s="11" t="str">
        <f>C10</f>
        <v>DIRECTOR'S OFFICE</v>
      </c>
      <c r="D14" s="13" t="str">
        <f>D10</f>
        <v>509600</v>
      </c>
      <c r="E14" s="38" t="str">
        <f>E10</f>
        <v>50-00</v>
      </c>
      <c r="F14" s="20" t="s">
        <v>584</v>
      </c>
      <c r="G14" s="11" t="s">
        <v>584</v>
      </c>
      <c r="H14" s="136"/>
      <c r="I14" s="140"/>
      <c r="J14" s="136"/>
      <c r="K14" s="136"/>
      <c r="L14" s="139"/>
      <c r="M14" s="139"/>
      <c r="N14" s="136"/>
      <c r="O14" s="29"/>
      <c r="P14" s="136"/>
      <c r="Q14" s="140">
        <f>43783+5173+5181+5423+5547</f>
        <v>65107</v>
      </c>
      <c r="R14" s="136">
        <f>1243.06+192+192+192+263+202</f>
        <v>2284.06</v>
      </c>
      <c r="S14" s="136">
        <f>Q14*$S$2</f>
        <v>651.07</v>
      </c>
      <c r="T14" s="136"/>
      <c r="U14" s="136">
        <f t="shared" si="0"/>
        <v>2935.13</v>
      </c>
    </row>
    <row r="15" spans="1:21" s="5" customFormat="1" ht="15.75" outlineLevel="1" collapsed="1">
      <c r="A15" s="64" t="s">
        <v>800</v>
      </c>
      <c r="B15" s="45"/>
      <c r="C15" s="45"/>
      <c r="D15" s="61"/>
      <c r="E15" s="52"/>
      <c r="F15" s="51"/>
      <c r="G15" s="45"/>
      <c r="H15" s="137">
        <f aca="true" t="shared" si="1" ref="H15:U15">SUBTOTAL(9,H4:H14)</f>
        <v>18136.21334699998</v>
      </c>
      <c r="I15" s="167">
        <f t="shared" si="1"/>
        <v>52372</v>
      </c>
      <c r="J15" s="137">
        <f t="shared" si="1"/>
        <v>5157.32</v>
      </c>
      <c r="K15" s="137">
        <f t="shared" si="1"/>
        <v>180</v>
      </c>
      <c r="L15" s="141">
        <f t="shared" si="1"/>
        <v>2</v>
      </c>
      <c r="M15" s="141">
        <f t="shared" si="1"/>
        <v>1</v>
      </c>
      <c r="N15" s="137">
        <f t="shared" si="1"/>
        <v>6270</v>
      </c>
      <c r="O15" s="65">
        <f t="shared" si="1"/>
        <v>9.25</v>
      </c>
      <c r="P15" s="137">
        <f t="shared" si="1"/>
        <v>666</v>
      </c>
      <c r="Q15" s="167">
        <f t="shared" si="1"/>
        <v>65107</v>
      </c>
      <c r="R15" s="137">
        <f t="shared" si="1"/>
        <v>6468.76</v>
      </c>
      <c r="S15" s="137">
        <f t="shared" si="1"/>
        <v>651.07</v>
      </c>
      <c r="T15" s="137">
        <f t="shared" si="1"/>
        <v>0</v>
      </c>
      <c r="U15" s="137">
        <f t="shared" si="1"/>
        <v>37529.36334699997</v>
      </c>
    </row>
    <row r="16" spans="1:21" ht="15" hidden="1" outlineLevel="2">
      <c r="A16" s="9" t="s">
        <v>8</v>
      </c>
      <c r="B16" s="25" t="s">
        <v>147</v>
      </c>
      <c r="C16" s="16" t="s">
        <v>593</v>
      </c>
      <c r="D16" s="26">
        <v>509600</v>
      </c>
      <c r="E16" s="27" t="s">
        <v>150</v>
      </c>
      <c r="F16" s="20" t="s">
        <v>585</v>
      </c>
      <c r="G16" s="27" t="s">
        <v>585</v>
      </c>
      <c r="H16" s="136"/>
      <c r="I16" s="149"/>
      <c r="J16" s="136"/>
      <c r="K16" s="136"/>
      <c r="L16" s="139">
        <v>2</v>
      </c>
      <c r="M16" s="139">
        <v>0.1429</v>
      </c>
      <c r="N16" s="136">
        <f>L16*M16*$N$2</f>
        <v>895.983</v>
      </c>
      <c r="O16" s="11"/>
      <c r="P16" s="136"/>
      <c r="Q16" s="140"/>
      <c r="R16" s="136"/>
      <c r="S16" s="136"/>
      <c r="T16" s="136"/>
      <c r="U16" s="136">
        <f>H16+J16+K16+N16+P16+R16+S16+T16</f>
        <v>895.983</v>
      </c>
    </row>
    <row r="17" spans="1:21" s="5" customFormat="1" ht="15.75" outlineLevel="1" collapsed="1">
      <c r="A17" s="64" t="s">
        <v>801</v>
      </c>
      <c r="B17" s="45"/>
      <c r="C17" s="45"/>
      <c r="D17" s="61"/>
      <c r="E17" s="52"/>
      <c r="F17" s="51"/>
      <c r="G17" s="45"/>
      <c r="H17" s="137">
        <f aca="true" t="shared" si="2" ref="H17:U17">SUBTOTAL(9,H16:H16)</f>
        <v>0</v>
      </c>
      <c r="I17" s="167">
        <f t="shared" si="2"/>
        <v>0</v>
      </c>
      <c r="J17" s="137">
        <f t="shared" si="2"/>
        <v>0</v>
      </c>
      <c r="K17" s="137">
        <f t="shared" si="2"/>
        <v>0</v>
      </c>
      <c r="L17" s="141">
        <f t="shared" si="2"/>
        <v>2</v>
      </c>
      <c r="M17" s="141">
        <f t="shared" si="2"/>
        <v>0.1429</v>
      </c>
      <c r="N17" s="137">
        <f t="shared" si="2"/>
        <v>895.983</v>
      </c>
      <c r="O17" s="65">
        <f t="shared" si="2"/>
        <v>0</v>
      </c>
      <c r="P17" s="137">
        <f t="shared" si="2"/>
        <v>0</v>
      </c>
      <c r="Q17" s="167">
        <f t="shared" si="2"/>
        <v>0</v>
      </c>
      <c r="R17" s="137">
        <f t="shared" si="2"/>
        <v>0</v>
      </c>
      <c r="S17" s="137">
        <f t="shared" si="2"/>
        <v>0</v>
      </c>
      <c r="T17" s="137">
        <f t="shared" si="2"/>
        <v>0</v>
      </c>
      <c r="U17" s="137">
        <f t="shared" si="2"/>
        <v>895.983</v>
      </c>
    </row>
    <row r="18" spans="1:21" ht="15" hidden="1" outlineLevel="2">
      <c r="A18" s="6" t="s">
        <v>199</v>
      </c>
      <c r="B18" s="7" t="s">
        <v>147</v>
      </c>
      <c r="C18" s="7" t="s">
        <v>200</v>
      </c>
      <c r="D18" s="7" t="s">
        <v>201</v>
      </c>
      <c r="E18" s="42" t="s">
        <v>202</v>
      </c>
      <c r="F18" s="39" t="s">
        <v>53</v>
      </c>
      <c r="G18" s="24" t="s">
        <v>62</v>
      </c>
      <c r="H18" s="136">
        <v>639.9312192000011</v>
      </c>
      <c r="I18" s="149">
        <v>1919</v>
      </c>
      <c r="J18" s="136">
        <f>I18*$J$1</f>
        <v>191.9</v>
      </c>
      <c r="K18" s="136">
        <v>15</v>
      </c>
      <c r="L18" s="139"/>
      <c r="M18" s="139"/>
      <c r="N18" s="136"/>
      <c r="O18" s="11"/>
      <c r="P18" s="136"/>
      <c r="Q18" s="140"/>
      <c r="R18" s="136"/>
      <c r="S18" s="136"/>
      <c r="T18" s="136"/>
      <c r="U18" s="136">
        <f aca="true" t="shared" si="3" ref="U18:U26">H18+J18+K18+N18+P18+R18+S18+T18</f>
        <v>846.8312192000011</v>
      </c>
    </row>
    <row r="19" spans="1:21" ht="15" hidden="1" outlineLevel="2">
      <c r="A19" s="6" t="s">
        <v>199</v>
      </c>
      <c r="B19" s="7" t="s">
        <v>147</v>
      </c>
      <c r="C19" s="7" t="s">
        <v>200</v>
      </c>
      <c r="D19" s="7" t="s">
        <v>201</v>
      </c>
      <c r="E19" s="42" t="s">
        <v>202</v>
      </c>
      <c r="F19" s="39" t="s">
        <v>53</v>
      </c>
      <c r="G19" s="24" t="s">
        <v>63</v>
      </c>
      <c r="H19" s="136">
        <v>222.90719359999997</v>
      </c>
      <c r="I19" s="149">
        <v>79</v>
      </c>
      <c r="J19" s="136">
        <f>I19*$J$2</f>
        <v>4.74</v>
      </c>
      <c r="K19" s="136">
        <v>15</v>
      </c>
      <c r="L19" s="139"/>
      <c r="M19" s="139"/>
      <c r="N19" s="136"/>
      <c r="O19" s="11"/>
      <c r="P19" s="136"/>
      <c r="Q19" s="140"/>
      <c r="R19" s="136"/>
      <c r="S19" s="136"/>
      <c r="T19" s="136"/>
      <c r="U19" s="136">
        <f t="shared" si="3"/>
        <v>242.64719359999998</v>
      </c>
    </row>
    <row r="20" spans="1:21" ht="15" hidden="1" outlineLevel="2">
      <c r="A20" s="6" t="s">
        <v>199</v>
      </c>
      <c r="B20" s="7" t="s">
        <v>147</v>
      </c>
      <c r="C20" s="7" t="s">
        <v>200</v>
      </c>
      <c r="D20" s="7" t="s">
        <v>201</v>
      </c>
      <c r="E20" s="42" t="s">
        <v>202</v>
      </c>
      <c r="F20" s="39" t="s">
        <v>53</v>
      </c>
      <c r="G20" s="24" t="s">
        <v>64</v>
      </c>
      <c r="H20" s="136">
        <v>213.8787476</v>
      </c>
      <c r="I20" s="149">
        <v>171</v>
      </c>
      <c r="J20" s="136">
        <f>I20*$J$2</f>
        <v>10.26</v>
      </c>
      <c r="K20" s="136">
        <v>0</v>
      </c>
      <c r="L20" s="139"/>
      <c r="M20" s="139"/>
      <c r="N20" s="136"/>
      <c r="O20" s="11"/>
      <c r="P20" s="136"/>
      <c r="Q20" s="140"/>
      <c r="R20" s="136"/>
      <c r="S20" s="136"/>
      <c r="T20" s="136"/>
      <c r="U20" s="136">
        <f t="shared" si="3"/>
        <v>224.1387476</v>
      </c>
    </row>
    <row r="21" spans="1:21" ht="15" hidden="1" outlineLevel="2">
      <c r="A21" s="6" t="s">
        <v>199</v>
      </c>
      <c r="B21" s="7" t="s">
        <v>147</v>
      </c>
      <c r="C21" s="7" t="s">
        <v>200</v>
      </c>
      <c r="D21" s="7" t="s">
        <v>201</v>
      </c>
      <c r="E21" s="42" t="s">
        <v>202</v>
      </c>
      <c r="F21" s="39" t="s">
        <v>53</v>
      </c>
      <c r="G21" s="24" t="s">
        <v>65</v>
      </c>
      <c r="H21" s="136">
        <v>842.4536287999993</v>
      </c>
      <c r="I21" s="149">
        <v>1896</v>
      </c>
      <c r="J21" s="136">
        <f>I21*$J$2</f>
        <v>113.75999999999999</v>
      </c>
      <c r="K21" s="136">
        <v>105</v>
      </c>
      <c r="L21" s="139"/>
      <c r="M21" s="139"/>
      <c r="N21" s="136"/>
      <c r="O21" s="11"/>
      <c r="P21" s="136"/>
      <c r="Q21" s="140"/>
      <c r="R21" s="136"/>
      <c r="S21" s="136"/>
      <c r="T21" s="136"/>
      <c r="U21" s="136">
        <f t="shared" si="3"/>
        <v>1061.2136287999992</v>
      </c>
    </row>
    <row r="22" spans="1:21" ht="15" hidden="1" outlineLevel="2">
      <c r="A22" s="6" t="s">
        <v>199</v>
      </c>
      <c r="B22" s="7" t="s">
        <v>147</v>
      </c>
      <c r="C22" s="7" t="s">
        <v>200</v>
      </c>
      <c r="D22" s="7" t="s">
        <v>201</v>
      </c>
      <c r="E22" s="42" t="s">
        <v>202</v>
      </c>
      <c r="F22" s="39" t="s">
        <v>53</v>
      </c>
      <c r="G22" s="24" t="s">
        <v>66</v>
      </c>
      <c r="H22" s="136">
        <v>65.78077520000001</v>
      </c>
      <c r="I22" s="149">
        <v>65</v>
      </c>
      <c r="J22" s="136">
        <f>I22*$J$2</f>
        <v>3.9</v>
      </c>
      <c r="K22" s="136">
        <v>45</v>
      </c>
      <c r="L22" s="139"/>
      <c r="M22" s="139"/>
      <c r="N22" s="136"/>
      <c r="O22" s="11"/>
      <c r="P22" s="136"/>
      <c r="Q22" s="140"/>
      <c r="R22" s="136"/>
      <c r="S22" s="136"/>
      <c r="T22" s="136"/>
      <c r="U22" s="136">
        <f t="shared" si="3"/>
        <v>114.68077520000001</v>
      </c>
    </row>
    <row r="23" spans="1:21" ht="15" hidden="1" outlineLevel="2">
      <c r="A23" s="6" t="s">
        <v>199</v>
      </c>
      <c r="B23" s="7" t="s">
        <v>147</v>
      </c>
      <c r="C23" s="7" t="s">
        <v>200</v>
      </c>
      <c r="D23" s="7" t="s">
        <v>201</v>
      </c>
      <c r="E23" s="42" t="s">
        <v>202</v>
      </c>
      <c r="F23" s="39" t="s">
        <v>585</v>
      </c>
      <c r="G23" s="16" t="s">
        <v>585</v>
      </c>
      <c r="H23" s="136"/>
      <c r="I23" s="149"/>
      <c r="J23" s="136"/>
      <c r="K23" s="136"/>
      <c r="L23" s="139">
        <v>4</v>
      </c>
      <c r="M23" s="139">
        <v>0.087</v>
      </c>
      <c r="N23" s="136">
        <f>L23*M23*$N$2</f>
        <v>1090.98</v>
      </c>
      <c r="O23" s="11"/>
      <c r="P23" s="136"/>
      <c r="Q23" s="140"/>
      <c r="R23" s="136"/>
      <c r="S23" s="136"/>
      <c r="T23" s="136"/>
      <c r="U23" s="136">
        <f t="shared" si="3"/>
        <v>1090.98</v>
      </c>
    </row>
    <row r="24" spans="1:21" ht="15" hidden="1" outlineLevel="2">
      <c r="A24" s="28" t="s">
        <v>199</v>
      </c>
      <c r="B24" s="11" t="str">
        <f aca="true" t="shared" si="4" ref="B24:E25">B23</f>
        <v>DCJ</v>
      </c>
      <c r="C24" s="11" t="str">
        <f t="shared" si="4"/>
        <v>ACJ CENTRALIZED PROC</v>
      </c>
      <c r="D24" s="13" t="str">
        <f t="shared" si="4"/>
        <v>CJ045.DOC.SUP.FEL.CI</v>
      </c>
      <c r="E24" s="38" t="str">
        <f t="shared" si="4"/>
        <v>50-10</v>
      </c>
      <c r="F24" s="20" t="s">
        <v>615</v>
      </c>
      <c r="G24" s="11" t="s">
        <v>615</v>
      </c>
      <c r="H24" s="136"/>
      <c r="I24" s="140"/>
      <c r="J24" s="136"/>
      <c r="K24" s="136"/>
      <c r="L24" s="139"/>
      <c r="M24" s="139"/>
      <c r="N24" s="136"/>
      <c r="O24" s="29">
        <v>2.5</v>
      </c>
      <c r="P24" s="136">
        <f>O24*$P$2</f>
        <v>180</v>
      </c>
      <c r="Q24" s="140"/>
      <c r="R24" s="136"/>
      <c r="S24" s="136"/>
      <c r="T24" s="136"/>
      <c r="U24" s="136">
        <f t="shared" si="3"/>
        <v>180</v>
      </c>
    </row>
    <row r="25" spans="1:21" ht="15" hidden="1" outlineLevel="2">
      <c r="A25" s="36" t="s">
        <v>647</v>
      </c>
      <c r="B25" s="11" t="str">
        <f t="shared" si="4"/>
        <v>DCJ</v>
      </c>
      <c r="C25" s="11" t="str">
        <f t="shared" si="4"/>
        <v>ACJ CENTRALIZED PROC</v>
      </c>
      <c r="D25" s="13" t="str">
        <f t="shared" si="4"/>
        <v>CJ045.DOC.SUP.FEL.CI</v>
      </c>
      <c r="E25" s="27" t="str">
        <f t="shared" si="4"/>
        <v>50-10</v>
      </c>
      <c r="F25" s="20" t="s">
        <v>683</v>
      </c>
      <c r="G25" s="11" t="s">
        <v>683</v>
      </c>
      <c r="H25" s="136"/>
      <c r="I25" s="140"/>
      <c r="J25" s="136"/>
      <c r="K25" s="136"/>
      <c r="L25" s="139"/>
      <c r="M25" s="139"/>
      <c r="N25" s="136"/>
      <c r="O25" s="34"/>
      <c r="P25" s="136"/>
      <c r="Q25" s="140"/>
      <c r="R25" s="136"/>
      <c r="S25" s="136"/>
      <c r="T25" s="150">
        <v>4.65</v>
      </c>
      <c r="U25" s="136">
        <f t="shared" si="3"/>
        <v>4.65</v>
      </c>
    </row>
    <row r="26" spans="1:21" ht="15" hidden="1" outlineLevel="2">
      <c r="A26" s="36" t="s">
        <v>647</v>
      </c>
      <c r="B26" s="11" t="str">
        <f>B24</f>
        <v>DCJ</v>
      </c>
      <c r="C26" s="11" t="str">
        <f>C24</f>
        <v>ACJ CENTRALIZED PROC</v>
      </c>
      <c r="D26" s="13" t="str">
        <f>D24</f>
        <v>CJ045.DOC.SUP.FEL.CI</v>
      </c>
      <c r="E26" s="27" t="str">
        <f>E24</f>
        <v>50-10</v>
      </c>
      <c r="F26" s="20" t="s">
        <v>53</v>
      </c>
      <c r="G26" s="11" t="s">
        <v>684</v>
      </c>
      <c r="H26" s="136"/>
      <c r="I26" s="140"/>
      <c r="J26" s="136"/>
      <c r="K26" s="136"/>
      <c r="L26" s="139"/>
      <c r="M26" s="139"/>
      <c r="N26" s="136"/>
      <c r="O26" s="34"/>
      <c r="P26" s="136"/>
      <c r="Q26" s="140"/>
      <c r="R26" s="136">
        <v>25.6</v>
      </c>
      <c r="S26" s="136"/>
      <c r="T26" s="150"/>
      <c r="U26" s="136">
        <f t="shared" si="3"/>
        <v>25.6</v>
      </c>
    </row>
    <row r="27" spans="1:21" s="5" customFormat="1" ht="15.75" outlineLevel="1" collapsed="1">
      <c r="A27" s="64" t="s">
        <v>802</v>
      </c>
      <c r="B27" s="45"/>
      <c r="C27" s="45"/>
      <c r="D27" s="61"/>
      <c r="E27" s="52"/>
      <c r="F27" s="51"/>
      <c r="G27" s="45"/>
      <c r="H27" s="137">
        <f aca="true" t="shared" si="5" ref="H27:U27">SUBTOTAL(9,H18:H26)</f>
        <v>1984.9515644000005</v>
      </c>
      <c r="I27" s="167">
        <f t="shared" si="5"/>
        <v>4130</v>
      </c>
      <c r="J27" s="137">
        <f t="shared" si="5"/>
        <v>324.55999999999995</v>
      </c>
      <c r="K27" s="137">
        <f t="shared" si="5"/>
        <v>180</v>
      </c>
      <c r="L27" s="141">
        <f t="shared" si="5"/>
        <v>4</v>
      </c>
      <c r="M27" s="141">
        <f t="shared" si="5"/>
        <v>0.087</v>
      </c>
      <c r="N27" s="137">
        <f t="shared" si="5"/>
        <v>1090.98</v>
      </c>
      <c r="O27" s="65">
        <f t="shared" si="5"/>
        <v>2.5</v>
      </c>
      <c r="P27" s="137">
        <f t="shared" si="5"/>
        <v>180</v>
      </c>
      <c r="Q27" s="167">
        <f t="shared" si="5"/>
        <v>0</v>
      </c>
      <c r="R27" s="137">
        <f t="shared" si="5"/>
        <v>25.6</v>
      </c>
      <c r="S27" s="137">
        <f t="shared" si="5"/>
        <v>0</v>
      </c>
      <c r="T27" s="137">
        <f t="shared" si="5"/>
        <v>4.65</v>
      </c>
      <c r="U27" s="137">
        <f t="shared" si="5"/>
        <v>3790.7415644000002</v>
      </c>
    </row>
    <row r="28" spans="1:21" ht="15" hidden="1" outlineLevel="2">
      <c r="A28" s="6" t="s">
        <v>203</v>
      </c>
      <c r="B28" s="7" t="s">
        <v>147</v>
      </c>
      <c r="C28" s="7" t="s">
        <v>204</v>
      </c>
      <c r="D28" s="7" t="s">
        <v>205</v>
      </c>
      <c r="E28" s="42" t="s">
        <v>202</v>
      </c>
      <c r="F28" s="39" t="s">
        <v>53</v>
      </c>
      <c r="G28" s="24" t="s">
        <v>62</v>
      </c>
      <c r="H28" s="136">
        <v>118.33031559999998</v>
      </c>
      <c r="I28" s="149">
        <v>366</v>
      </c>
      <c r="J28" s="136">
        <f>I28*$J$1</f>
        <v>36.6</v>
      </c>
      <c r="K28" s="136">
        <v>60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 aca="true" t="shared" si="6" ref="U28:U34">H28+J28+K28+N28+P28+R28+S28+T28</f>
        <v>214.93031559999997</v>
      </c>
    </row>
    <row r="29" spans="1:21" ht="15" hidden="1" outlineLevel="2">
      <c r="A29" s="6" t="s">
        <v>203</v>
      </c>
      <c r="B29" s="7" t="s">
        <v>147</v>
      </c>
      <c r="C29" s="7" t="s">
        <v>204</v>
      </c>
      <c r="D29" s="7" t="s">
        <v>205</v>
      </c>
      <c r="E29" s="42" t="s">
        <v>202</v>
      </c>
      <c r="F29" s="39" t="s">
        <v>53</v>
      </c>
      <c r="G29" s="24" t="s">
        <v>63</v>
      </c>
      <c r="H29" s="136">
        <v>101.221358</v>
      </c>
      <c r="I29" s="149">
        <v>29</v>
      </c>
      <c r="J29" s="136">
        <f>I29*$J$2</f>
        <v>1.74</v>
      </c>
      <c r="K29" s="136">
        <v>0</v>
      </c>
      <c r="L29" s="139"/>
      <c r="M29" s="139"/>
      <c r="N29" s="136"/>
      <c r="O29" s="11"/>
      <c r="P29" s="136"/>
      <c r="Q29" s="140"/>
      <c r="R29" s="136"/>
      <c r="S29" s="136"/>
      <c r="T29" s="136"/>
      <c r="U29" s="136">
        <f t="shared" si="6"/>
        <v>102.96135799999999</v>
      </c>
    </row>
    <row r="30" spans="1:21" ht="15" hidden="1" outlineLevel="2">
      <c r="A30" s="6" t="s">
        <v>203</v>
      </c>
      <c r="B30" s="7" t="s">
        <v>147</v>
      </c>
      <c r="C30" s="7" t="s">
        <v>204</v>
      </c>
      <c r="D30" s="7" t="s">
        <v>205</v>
      </c>
      <c r="E30" s="42" t="s">
        <v>202</v>
      </c>
      <c r="F30" s="39" t="s">
        <v>53</v>
      </c>
      <c r="G30" s="24" t="s">
        <v>64</v>
      </c>
      <c r="H30" s="136">
        <v>26.025203400000002</v>
      </c>
      <c r="I30" s="149">
        <v>15</v>
      </c>
      <c r="J30" s="136">
        <f>I30*$J$2</f>
        <v>0.8999999999999999</v>
      </c>
      <c r="K30" s="136">
        <v>15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 t="shared" si="6"/>
        <v>41.9252034</v>
      </c>
    </row>
    <row r="31" spans="1:21" ht="15" hidden="1" outlineLevel="2">
      <c r="A31" s="6" t="s">
        <v>203</v>
      </c>
      <c r="B31" s="7" t="s">
        <v>147</v>
      </c>
      <c r="C31" s="7" t="s">
        <v>204</v>
      </c>
      <c r="D31" s="7" t="s">
        <v>205</v>
      </c>
      <c r="E31" s="42" t="s">
        <v>202</v>
      </c>
      <c r="F31" s="39" t="s">
        <v>53</v>
      </c>
      <c r="G31" s="24" t="s">
        <v>65</v>
      </c>
      <c r="H31" s="136">
        <v>100.20211879999997</v>
      </c>
      <c r="I31" s="149">
        <v>226</v>
      </c>
      <c r="J31" s="136">
        <f>I31*$J$2</f>
        <v>13.559999999999999</v>
      </c>
      <c r="K31" s="136">
        <v>75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 t="shared" si="6"/>
        <v>188.76211879999997</v>
      </c>
    </row>
    <row r="32" spans="1:21" ht="15" hidden="1" outlineLevel="2">
      <c r="A32" s="6" t="s">
        <v>203</v>
      </c>
      <c r="B32" s="7" t="s">
        <v>147</v>
      </c>
      <c r="C32" s="7" t="s">
        <v>204</v>
      </c>
      <c r="D32" s="7" t="s">
        <v>205</v>
      </c>
      <c r="E32" s="42" t="s">
        <v>202</v>
      </c>
      <c r="F32" s="39" t="s">
        <v>53</v>
      </c>
      <c r="G32" s="24" t="s">
        <v>66</v>
      </c>
      <c r="H32" s="136">
        <v>8.3500018</v>
      </c>
      <c r="I32" s="149">
        <v>6</v>
      </c>
      <c r="J32" s="136">
        <f>I32*$J$2</f>
        <v>0.36</v>
      </c>
      <c r="K32" s="136">
        <v>30</v>
      </c>
      <c r="L32" s="139"/>
      <c r="M32" s="139"/>
      <c r="N32" s="136"/>
      <c r="O32" s="11"/>
      <c r="P32" s="136"/>
      <c r="Q32" s="140"/>
      <c r="R32" s="136"/>
      <c r="S32" s="136"/>
      <c r="T32" s="136"/>
      <c r="U32" s="136">
        <f t="shared" si="6"/>
        <v>38.7100018</v>
      </c>
    </row>
    <row r="33" spans="1:21" ht="15" hidden="1" outlineLevel="2">
      <c r="A33" s="6" t="s">
        <v>203</v>
      </c>
      <c r="B33" s="7" t="s">
        <v>147</v>
      </c>
      <c r="C33" s="7" t="s">
        <v>204</v>
      </c>
      <c r="D33" s="7" t="s">
        <v>205</v>
      </c>
      <c r="E33" s="43" t="s">
        <v>202</v>
      </c>
      <c r="F33" s="39" t="s">
        <v>585</v>
      </c>
      <c r="G33" s="16" t="s">
        <v>585</v>
      </c>
      <c r="H33" s="136"/>
      <c r="I33" s="149"/>
      <c r="J33" s="136"/>
      <c r="K33" s="136"/>
      <c r="L33" s="139">
        <v>2</v>
      </c>
      <c r="M33" s="139">
        <v>1</v>
      </c>
      <c r="N33" s="136">
        <f>L33*M33*$N$2</f>
        <v>6270</v>
      </c>
      <c r="O33" s="11"/>
      <c r="P33" s="136"/>
      <c r="Q33" s="140"/>
      <c r="R33" s="136"/>
      <c r="S33" s="136"/>
      <c r="T33" s="136"/>
      <c r="U33" s="136">
        <f t="shared" si="6"/>
        <v>6270</v>
      </c>
    </row>
    <row r="34" spans="1:21" ht="15" hidden="1" outlineLevel="2">
      <c r="A34" s="36" t="s">
        <v>648</v>
      </c>
      <c r="B34" s="11" t="str">
        <f>B33</f>
        <v>DCJ</v>
      </c>
      <c r="C34" s="11" t="str">
        <f>C33</f>
        <v>ACJ EAST-SE DISTRICT</v>
      </c>
      <c r="D34" s="13" t="str">
        <f>D33</f>
        <v>CJ045.DOC.SUP.FEL.MID</v>
      </c>
      <c r="E34" s="27" t="str">
        <f>E33</f>
        <v>50-10</v>
      </c>
      <c r="F34" s="20" t="s">
        <v>683</v>
      </c>
      <c r="G34" s="11" t="s">
        <v>683</v>
      </c>
      <c r="H34" s="136"/>
      <c r="I34" s="140"/>
      <c r="J34" s="136"/>
      <c r="K34" s="136"/>
      <c r="L34" s="139"/>
      <c r="M34" s="139"/>
      <c r="N34" s="136"/>
      <c r="O34" s="34"/>
      <c r="P34" s="136"/>
      <c r="Q34" s="140"/>
      <c r="R34" s="136"/>
      <c r="S34" s="136"/>
      <c r="T34" s="150">
        <v>5.45</v>
      </c>
      <c r="U34" s="136">
        <f t="shared" si="6"/>
        <v>5.45</v>
      </c>
    </row>
    <row r="35" spans="1:21" s="5" customFormat="1" ht="15.75" outlineLevel="1" collapsed="1">
      <c r="A35" s="64" t="s">
        <v>803</v>
      </c>
      <c r="B35" s="45"/>
      <c r="C35" s="45"/>
      <c r="D35" s="61"/>
      <c r="E35" s="52"/>
      <c r="F35" s="51"/>
      <c r="G35" s="45"/>
      <c r="H35" s="137">
        <f aca="true" t="shared" si="7" ref="H35:U35">SUBTOTAL(9,H28:H34)</f>
        <v>354.12899759999993</v>
      </c>
      <c r="I35" s="167">
        <f t="shared" si="7"/>
        <v>642</v>
      </c>
      <c r="J35" s="137">
        <f t="shared" si="7"/>
        <v>53.16</v>
      </c>
      <c r="K35" s="137">
        <f t="shared" si="7"/>
        <v>180</v>
      </c>
      <c r="L35" s="141">
        <f t="shared" si="7"/>
        <v>2</v>
      </c>
      <c r="M35" s="141">
        <f t="shared" si="7"/>
        <v>1</v>
      </c>
      <c r="N35" s="137">
        <f t="shared" si="7"/>
        <v>6270</v>
      </c>
      <c r="O35" s="65">
        <f t="shared" si="7"/>
        <v>0</v>
      </c>
      <c r="P35" s="137">
        <f t="shared" si="7"/>
        <v>0</v>
      </c>
      <c r="Q35" s="167">
        <f t="shared" si="7"/>
        <v>0</v>
      </c>
      <c r="R35" s="137">
        <f t="shared" si="7"/>
        <v>0</v>
      </c>
      <c r="S35" s="137">
        <f t="shared" si="7"/>
        <v>0</v>
      </c>
      <c r="T35" s="137">
        <f t="shared" si="7"/>
        <v>5.45</v>
      </c>
      <c r="U35" s="137">
        <f t="shared" si="7"/>
        <v>6862.7389975999995</v>
      </c>
    </row>
    <row r="36" spans="1:21" ht="15" hidden="1" outlineLevel="2">
      <c r="A36" s="6" t="s">
        <v>206</v>
      </c>
      <c r="B36" s="7" t="s">
        <v>147</v>
      </c>
      <c r="C36" s="7" t="s">
        <v>207</v>
      </c>
      <c r="D36" s="7" t="s">
        <v>208</v>
      </c>
      <c r="E36" s="42" t="s">
        <v>202</v>
      </c>
      <c r="F36" s="39" t="s">
        <v>53</v>
      </c>
      <c r="G36" s="24" t="s">
        <v>62</v>
      </c>
      <c r="H36" s="136">
        <v>215.6152291999999</v>
      </c>
      <c r="I36" s="149">
        <v>651</v>
      </c>
      <c r="J36" s="136">
        <f>I36*$J$1</f>
        <v>65.10000000000001</v>
      </c>
      <c r="K36" s="136">
        <v>30</v>
      </c>
      <c r="L36" s="139"/>
      <c r="M36" s="139"/>
      <c r="N36" s="136"/>
      <c r="O36" s="11"/>
      <c r="P36" s="136"/>
      <c r="Q36" s="140"/>
      <c r="R36" s="136"/>
      <c r="S36" s="136"/>
      <c r="T36" s="136"/>
      <c r="U36" s="136">
        <f aca="true" t="shared" si="8" ref="U36:U42">H36+J36+K36+N36+P36+R36+S36+T36</f>
        <v>310.7152291999999</v>
      </c>
    </row>
    <row r="37" spans="1:21" ht="15" hidden="1" outlineLevel="2">
      <c r="A37" s="6" t="s">
        <v>206</v>
      </c>
      <c r="B37" s="7" t="s">
        <v>147</v>
      </c>
      <c r="C37" s="7" t="s">
        <v>207</v>
      </c>
      <c r="D37" s="7" t="s">
        <v>208</v>
      </c>
      <c r="E37" s="42" t="s">
        <v>202</v>
      </c>
      <c r="F37" s="39" t="s">
        <v>53</v>
      </c>
      <c r="G37" s="24" t="s">
        <v>63</v>
      </c>
      <c r="H37" s="136">
        <v>249.797492</v>
      </c>
      <c r="I37" s="149">
        <v>78</v>
      </c>
      <c r="J37" s="136">
        <f>I37*$J$2</f>
        <v>4.68</v>
      </c>
      <c r="K37" s="136">
        <v>15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 t="shared" si="8"/>
        <v>269.477492</v>
      </c>
    </row>
    <row r="38" spans="1:21" ht="15" hidden="1" outlineLevel="2">
      <c r="A38" s="6" t="s">
        <v>206</v>
      </c>
      <c r="B38" s="7" t="s">
        <v>147</v>
      </c>
      <c r="C38" s="7" t="s">
        <v>207</v>
      </c>
      <c r="D38" s="7" t="s">
        <v>208</v>
      </c>
      <c r="E38" s="42" t="s">
        <v>202</v>
      </c>
      <c r="F38" s="39" t="s">
        <v>53</v>
      </c>
      <c r="G38" s="24" t="s">
        <v>64</v>
      </c>
      <c r="H38" s="136">
        <v>79.20285519999999</v>
      </c>
      <c r="I38" s="149">
        <v>56</v>
      </c>
      <c r="J38" s="136">
        <f>I38*$J$2</f>
        <v>3.36</v>
      </c>
      <c r="K38" s="136">
        <v>15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 t="shared" si="8"/>
        <v>97.56285519999999</v>
      </c>
    </row>
    <row r="39" spans="1:21" ht="15" hidden="1" outlineLevel="2">
      <c r="A39" s="6" t="s">
        <v>206</v>
      </c>
      <c r="B39" s="7" t="s">
        <v>147</v>
      </c>
      <c r="C39" s="7" t="s">
        <v>207</v>
      </c>
      <c r="D39" s="7" t="s">
        <v>208</v>
      </c>
      <c r="E39" s="42" t="s">
        <v>202</v>
      </c>
      <c r="F39" s="39" t="s">
        <v>53</v>
      </c>
      <c r="G39" s="24" t="s">
        <v>65</v>
      </c>
      <c r="H39" s="136">
        <v>265.8054195999999</v>
      </c>
      <c r="I39" s="149">
        <v>515</v>
      </c>
      <c r="J39" s="136">
        <f>I39*$J$2</f>
        <v>30.9</v>
      </c>
      <c r="K39" s="136">
        <v>105</v>
      </c>
      <c r="L39" s="139"/>
      <c r="M39" s="139"/>
      <c r="N39" s="136"/>
      <c r="O39" s="11"/>
      <c r="P39" s="136"/>
      <c r="Q39" s="140"/>
      <c r="R39" s="136"/>
      <c r="S39" s="136"/>
      <c r="T39" s="136"/>
      <c r="U39" s="136">
        <f t="shared" si="8"/>
        <v>401.70541959999986</v>
      </c>
    </row>
    <row r="40" spans="1:21" ht="15" hidden="1" outlineLevel="2">
      <c r="A40" s="6" t="s">
        <v>206</v>
      </c>
      <c r="B40" s="7" t="s">
        <v>147</v>
      </c>
      <c r="C40" s="7" t="s">
        <v>207</v>
      </c>
      <c r="D40" s="7" t="s">
        <v>208</v>
      </c>
      <c r="E40" s="42" t="s">
        <v>202</v>
      </c>
      <c r="F40" s="39" t="s">
        <v>53</v>
      </c>
      <c r="G40" s="24" t="s">
        <v>66</v>
      </c>
      <c r="H40" s="136">
        <v>29.1814894</v>
      </c>
      <c r="I40" s="149">
        <v>24</v>
      </c>
      <c r="J40" s="136">
        <f>I40*$J$2</f>
        <v>1.44</v>
      </c>
      <c r="K40" s="136">
        <v>15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 t="shared" si="8"/>
        <v>45.6214894</v>
      </c>
    </row>
    <row r="41" spans="1:21" ht="15" hidden="1" outlineLevel="2">
      <c r="A41" s="6" t="str">
        <f>A40</f>
        <v>M214</v>
      </c>
      <c r="B41" s="11" t="str">
        <f>B40</f>
        <v>DCJ</v>
      </c>
      <c r="C41" s="11" t="str">
        <f>C40</f>
        <v>ACJ NORTH/NE/WEST DISTRICT</v>
      </c>
      <c r="D41" s="13" t="str">
        <f>D40</f>
        <v>CJ045.DOC.SUP.FEL.NORTH</v>
      </c>
      <c r="E41" s="24" t="str">
        <f>E40</f>
        <v>50-10</v>
      </c>
      <c r="F41" s="39" t="s">
        <v>585</v>
      </c>
      <c r="G41" s="24" t="s">
        <v>585</v>
      </c>
      <c r="H41" s="136"/>
      <c r="I41" s="149"/>
      <c r="J41" s="136"/>
      <c r="K41" s="136"/>
      <c r="L41" s="139">
        <v>2</v>
      </c>
      <c r="M41" s="139">
        <v>1</v>
      </c>
      <c r="N41" s="136">
        <f>L41*M41*$N$2</f>
        <v>6270</v>
      </c>
      <c r="O41" s="11"/>
      <c r="P41" s="136"/>
      <c r="Q41" s="140"/>
      <c r="R41" s="136"/>
      <c r="S41" s="136"/>
      <c r="T41" s="136"/>
      <c r="U41" s="136">
        <f t="shared" si="8"/>
        <v>6270</v>
      </c>
    </row>
    <row r="42" spans="1:21" ht="15" hidden="1" outlineLevel="2">
      <c r="A42" s="28" t="s">
        <v>206</v>
      </c>
      <c r="B42" s="11" t="str">
        <f>B41</f>
        <v>DCJ</v>
      </c>
      <c r="C42" s="11" t="str">
        <f>C41</f>
        <v>ACJ NORTH/NE/WEST DISTRICT</v>
      </c>
      <c r="D42" s="13" t="str">
        <f>D41</f>
        <v>CJ045.DOC.SUP.FEL.NORTH</v>
      </c>
      <c r="E42" s="38" t="str">
        <f>E41</f>
        <v>50-10</v>
      </c>
      <c r="F42" s="20" t="s">
        <v>615</v>
      </c>
      <c r="G42" s="11" t="s">
        <v>615</v>
      </c>
      <c r="H42" s="136"/>
      <c r="I42" s="140"/>
      <c r="J42" s="136"/>
      <c r="K42" s="136"/>
      <c r="L42" s="139"/>
      <c r="M42" s="139"/>
      <c r="N42" s="136"/>
      <c r="O42" s="29">
        <f>2+2.25</f>
        <v>4.25</v>
      </c>
      <c r="P42" s="136">
        <f>O42*$P$2</f>
        <v>306</v>
      </c>
      <c r="Q42" s="140"/>
      <c r="R42" s="136"/>
      <c r="S42" s="136"/>
      <c r="T42" s="136"/>
      <c r="U42" s="136">
        <f t="shared" si="8"/>
        <v>306</v>
      </c>
    </row>
    <row r="43" spans="1:21" s="5" customFormat="1" ht="15.75" outlineLevel="1" collapsed="1">
      <c r="A43" s="64" t="s">
        <v>804</v>
      </c>
      <c r="B43" s="45"/>
      <c r="C43" s="45"/>
      <c r="D43" s="61"/>
      <c r="E43" s="52"/>
      <c r="F43" s="51"/>
      <c r="G43" s="45"/>
      <c r="H43" s="137">
        <f aca="true" t="shared" si="9" ref="H43:U43">SUBTOTAL(9,H36:H42)</f>
        <v>839.6024853999999</v>
      </c>
      <c r="I43" s="167">
        <f t="shared" si="9"/>
        <v>1324</v>
      </c>
      <c r="J43" s="137">
        <f t="shared" si="9"/>
        <v>105.47999999999999</v>
      </c>
      <c r="K43" s="137">
        <f t="shared" si="9"/>
        <v>180</v>
      </c>
      <c r="L43" s="141">
        <f t="shared" si="9"/>
        <v>2</v>
      </c>
      <c r="M43" s="141">
        <f t="shared" si="9"/>
        <v>1</v>
      </c>
      <c r="N43" s="137">
        <f t="shared" si="9"/>
        <v>6270</v>
      </c>
      <c r="O43" s="65">
        <f t="shared" si="9"/>
        <v>4.25</v>
      </c>
      <c r="P43" s="137">
        <f t="shared" si="9"/>
        <v>306</v>
      </c>
      <c r="Q43" s="167">
        <f t="shared" si="9"/>
        <v>0</v>
      </c>
      <c r="R43" s="137">
        <f t="shared" si="9"/>
        <v>0</v>
      </c>
      <c r="S43" s="137">
        <f t="shared" si="9"/>
        <v>0</v>
      </c>
      <c r="T43" s="137">
        <f t="shared" si="9"/>
        <v>0</v>
      </c>
      <c r="U43" s="137">
        <f t="shared" si="9"/>
        <v>7701.082485399999</v>
      </c>
    </row>
    <row r="44" spans="1:21" ht="15" hidden="1" outlineLevel="2">
      <c r="A44" s="6" t="s">
        <v>209</v>
      </c>
      <c r="B44" s="7" t="s">
        <v>147</v>
      </c>
      <c r="C44" s="7" t="s">
        <v>210</v>
      </c>
      <c r="D44" s="8" t="s">
        <v>211</v>
      </c>
      <c r="E44" s="42" t="s">
        <v>202</v>
      </c>
      <c r="F44" s="39" t="s">
        <v>53</v>
      </c>
      <c r="G44" s="11" t="s">
        <v>63</v>
      </c>
      <c r="H44" s="136">
        <v>2.967538</v>
      </c>
      <c r="I44" s="140">
        <v>1</v>
      </c>
      <c r="J44" s="136">
        <f>I44*$J$2</f>
        <v>0.06</v>
      </c>
      <c r="K44" s="136">
        <v>15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>H44+J44+K44+N44+P44+R44+S44+T44</f>
        <v>18.027538</v>
      </c>
    </row>
    <row r="45" spans="1:21" ht="15" hidden="1" outlineLevel="2">
      <c r="A45" s="6" t="str">
        <f>A44</f>
        <v>M215</v>
      </c>
      <c r="B45" s="11" t="str">
        <f>B44</f>
        <v>DCJ</v>
      </c>
      <c r="C45" s="11" t="str">
        <f>C44</f>
        <v>ACJ</v>
      </c>
      <c r="D45" s="13" t="str">
        <f>D44</f>
        <v>502230</v>
      </c>
      <c r="E45" s="24" t="str">
        <f>E44</f>
        <v>50-10</v>
      </c>
      <c r="F45" s="39" t="s">
        <v>585</v>
      </c>
      <c r="G45" s="24" t="s">
        <v>585</v>
      </c>
      <c r="H45" s="136"/>
      <c r="I45" s="140"/>
      <c r="J45" s="136"/>
      <c r="K45" s="136"/>
      <c r="L45" s="139">
        <v>2</v>
      </c>
      <c r="M45" s="139">
        <v>0.5</v>
      </c>
      <c r="N45" s="136">
        <f>L45*M45*$N$2</f>
        <v>3135</v>
      </c>
      <c r="O45" s="11"/>
      <c r="P45" s="136"/>
      <c r="Q45" s="140"/>
      <c r="R45" s="136"/>
      <c r="S45" s="136"/>
      <c r="T45" s="136"/>
      <c r="U45" s="136">
        <f>H45+J45+K45+N45+P45+R45+S45+T45</f>
        <v>3135</v>
      </c>
    </row>
    <row r="46" spans="1:21" ht="15" hidden="1" outlineLevel="2">
      <c r="A46" s="6" t="str">
        <f>A44</f>
        <v>M215</v>
      </c>
      <c r="B46" s="11" t="str">
        <f>B44</f>
        <v>DCJ</v>
      </c>
      <c r="C46" s="11" t="str">
        <f>C44</f>
        <v>ACJ</v>
      </c>
      <c r="D46" s="13" t="str">
        <f>D44</f>
        <v>502230</v>
      </c>
      <c r="E46" s="24" t="str">
        <f>E44</f>
        <v>50-10</v>
      </c>
      <c r="F46" s="39" t="s">
        <v>615</v>
      </c>
      <c r="G46" s="24" t="s">
        <v>615</v>
      </c>
      <c r="H46" s="136"/>
      <c r="I46" s="140"/>
      <c r="J46" s="136"/>
      <c r="K46" s="136"/>
      <c r="L46" s="139"/>
      <c r="M46" s="139"/>
      <c r="N46" s="136"/>
      <c r="O46" s="34">
        <v>1.5</v>
      </c>
      <c r="P46" s="136">
        <f>O46*$P$2</f>
        <v>108</v>
      </c>
      <c r="Q46" s="140"/>
      <c r="R46" s="136"/>
      <c r="S46" s="136"/>
      <c r="T46" s="136"/>
      <c r="U46" s="136">
        <f>H46+J46+K46+N46+P46+R46+S46+T46</f>
        <v>108</v>
      </c>
    </row>
    <row r="47" spans="1:21" s="5" customFormat="1" ht="15.75" outlineLevel="1" collapsed="1">
      <c r="A47" s="64" t="s">
        <v>805</v>
      </c>
      <c r="B47" s="45"/>
      <c r="C47" s="45"/>
      <c r="D47" s="61"/>
      <c r="E47" s="52"/>
      <c r="F47" s="51"/>
      <c r="G47" s="45"/>
      <c r="H47" s="137">
        <f aca="true" t="shared" si="10" ref="H47:U47">SUBTOTAL(9,H44:H46)</f>
        <v>2.967538</v>
      </c>
      <c r="I47" s="167">
        <f t="shared" si="10"/>
        <v>1</v>
      </c>
      <c r="J47" s="137">
        <f t="shared" si="10"/>
        <v>0.06</v>
      </c>
      <c r="K47" s="137">
        <f t="shared" si="10"/>
        <v>15</v>
      </c>
      <c r="L47" s="141">
        <f t="shared" si="10"/>
        <v>2</v>
      </c>
      <c r="M47" s="141">
        <f t="shared" si="10"/>
        <v>0.5</v>
      </c>
      <c r="N47" s="137">
        <f t="shared" si="10"/>
        <v>3135</v>
      </c>
      <c r="O47" s="65">
        <f t="shared" si="10"/>
        <v>1.5</v>
      </c>
      <c r="P47" s="137">
        <f t="shared" si="10"/>
        <v>108</v>
      </c>
      <c r="Q47" s="167">
        <f t="shared" si="10"/>
        <v>0</v>
      </c>
      <c r="R47" s="137">
        <f t="shared" si="10"/>
        <v>0</v>
      </c>
      <c r="S47" s="137">
        <f t="shared" si="10"/>
        <v>0</v>
      </c>
      <c r="T47" s="137">
        <f t="shared" si="10"/>
        <v>0</v>
      </c>
      <c r="U47" s="137">
        <f t="shared" si="10"/>
        <v>3261.027538</v>
      </c>
    </row>
    <row r="48" spans="1:21" ht="15" hidden="1" outlineLevel="2">
      <c r="A48" s="6" t="s">
        <v>212</v>
      </c>
      <c r="B48" s="7" t="s">
        <v>147</v>
      </c>
      <c r="C48" s="7" t="s">
        <v>213</v>
      </c>
      <c r="D48" s="7" t="s">
        <v>214</v>
      </c>
      <c r="E48" s="42" t="s">
        <v>202</v>
      </c>
      <c r="F48" s="39" t="s">
        <v>53</v>
      </c>
      <c r="G48" s="24" t="s">
        <v>62</v>
      </c>
      <c r="H48" s="136">
        <v>86.89328759999998</v>
      </c>
      <c r="I48" s="149">
        <v>261</v>
      </c>
      <c r="J48" s="136">
        <f>I48*$J$1</f>
        <v>26.1</v>
      </c>
      <c r="K48" s="136">
        <v>30</v>
      </c>
      <c r="L48" s="139"/>
      <c r="M48" s="139"/>
      <c r="N48" s="136"/>
      <c r="O48" s="11"/>
      <c r="P48" s="136"/>
      <c r="Q48" s="140"/>
      <c r="R48" s="136"/>
      <c r="S48" s="136"/>
      <c r="T48" s="136"/>
      <c r="U48" s="136">
        <f aca="true" t="shared" si="11" ref="U48:U57">H48+J48+K48+N48+P48+R48+S48+T48</f>
        <v>142.99328759999997</v>
      </c>
    </row>
    <row r="49" spans="1:21" ht="15" hidden="1" outlineLevel="2">
      <c r="A49" s="6" t="s">
        <v>212</v>
      </c>
      <c r="B49" s="7" t="s">
        <v>147</v>
      </c>
      <c r="C49" s="7" t="s">
        <v>213</v>
      </c>
      <c r="D49" s="7" t="s">
        <v>214</v>
      </c>
      <c r="E49" s="42" t="s">
        <v>202</v>
      </c>
      <c r="F49" s="39" t="s">
        <v>53</v>
      </c>
      <c r="G49" s="24" t="s">
        <v>63</v>
      </c>
      <c r="H49" s="136">
        <v>278.025804</v>
      </c>
      <c r="I49" s="149">
        <v>98</v>
      </c>
      <c r="J49" s="136">
        <f>I49*$J$2</f>
        <v>5.88</v>
      </c>
      <c r="K49" s="136">
        <v>0</v>
      </c>
      <c r="L49" s="139"/>
      <c r="M49" s="139"/>
      <c r="N49" s="136"/>
      <c r="O49" s="11"/>
      <c r="P49" s="136"/>
      <c r="Q49" s="140"/>
      <c r="R49" s="136"/>
      <c r="S49" s="136"/>
      <c r="T49" s="136"/>
      <c r="U49" s="136">
        <f t="shared" si="11"/>
        <v>283.905804</v>
      </c>
    </row>
    <row r="50" spans="1:21" ht="15" hidden="1" outlineLevel="2">
      <c r="A50" s="6" t="s">
        <v>212</v>
      </c>
      <c r="B50" s="7" t="s">
        <v>147</v>
      </c>
      <c r="C50" s="7" t="s">
        <v>213</v>
      </c>
      <c r="D50" s="7" t="s">
        <v>214</v>
      </c>
      <c r="E50" s="42" t="s">
        <v>202</v>
      </c>
      <c r="F50" s="39" t="s">
        <v>53</v>
      </c>
      <c r="G50" s="24" t="s">
        <v>64</v>
      </c>
      <c r="H50" s="136">
        <v>125.86870099999999</v>
      </c>
      <c r="I50" s="149">
        <v>71</v>
      </c>
      <c r="J50" s="136">
        <f>I50*$J$2</f>
        <v>4.26</v>
      </c>
      <c r="K50" s="136">
        <v>30</v>
      </c>
      <c r="L50" s="139"/>
      <c r="M50" s="139"/>
      <c r="N50" s="136"/>
      <c r="O50" s="11"/>
      <c r="P50" s="136"/>
      <c r="Q50" s="140"/>
      <c r="R50" s="136"/>
      <c r="S50" s="136"/>
      <c r="T50" s="136"/>
      <c r="U50" s="136">
        <f t="shared" si="11"/>
        <v>160.12870099999998</v>
      </c>
    </row>
    <row r="51" spans="1:21" ht="15" hidden="1" outlineLevel="2">
      <c r="A51" s="6" t="s">
        <v>212</v>
      </c>
      <c r="B51" s="7" t="s">
        <v>147</v>
      </c>
      <c r="C51" s="7" t="s">
        <v>213</v>
      </c>
      <c r="D51" s="7" t="s">
        <v>214</v>
      </c>
      <c r="E51" s="42" t="s">
        <v>202</v>
      </c>
      <c r="F51" s="39" t="s">
        <v>53</v>
      </c>
      <c r="G51" s="24" t="s">
        <v>65</v>
      </c>
      <c r="H51" s="136">
        <v>126.209496</v>
      </c>
      <c r="I51" s="149">
        <v>289</v>
      </c>
      <c r="J51" s="136">
        <f>I51*$J$2</f>
        <v>17.34</v>
      </c>
      <c r="K51" s="136">
        <v>120</v>
      </c>
      <c r="L51" s="139"/>
      <c r="M51" s="139"/>
      <c r="N51" s="136"/>
      <c r="O51" s="11"/>
      <c r="P51" s="136"/>
      <c r="Q51" s="140"/>
      <c r="R51" s="136"/>
      <c r="S51" s="136"/>
      <c r="T51" s="136"/>
      <c r="U51" s="136">
        <f t="shared" si="11"/>
        <v>263.549496</v>
      </c>
    </row>
    <row r="52" spans="1:21" ht="15" hidden="1" outlineLevel="2">
      <c r="A52" s="6" t="s">
        <v>212</v>
      </c>
      <c r="B52" s="7" t="s">
        <v>147</v>
      </c>
      <c r="C52" s="7" t="s">
        <v>213</v>
      </c>
      <c r="D52" s="7" t="s">
        <v>214</v>
      </c>
      <c r="E52" s="42" t="s">
        <v>202</v>
      </c>
      <c r="F52" s="39" t="s">
        <v>53</v>
      </c>
      <c r="G52" s="24" t="s">
        <v>66</v>
      </c>
      <c r="H52" s="136">
        <v>38.076763199999995</v>
      </c>
      <c r="I52" s="149">
        <v>36</v>
      </c>
      <c r="J52" s="136">
        <f>I52*$J$2</f>
        <v>2.16</v>
      </c>
      <c r="K52" s="136">
        <v>0</v>
      </c>
      <c r="L52" s="139"/>
      <c r="M52" s="139"/>
      <c r="N52" s="136"/>
      <c r="O52" s="11"/>
      <c r="P52" s="136"/>
      <c r="Q52" s="140"/>
      <c r="R52" s="136"/>
      <c r="S52" s="136"/>
      <c r="T52" s="136"/>
      <c r="U52" s="136">
        <f t="shared" si="11"/>
        <v>40.2367632</v>
      </c>
    </row>
    <row r="53" spans="1:21" ht="15" hidden="1" outlineLevel="2">
      <c r="A53" s="6" t="s">
        <v>212</v>
      </c>
      <c r="B53" s="7" t="s">
        <v>147</v>
      </c>
      <c r="C53" s="7" t="s">
        <v>213</v>
      </c>
      <c r="D53" s="7" t="s">
        <v>214</v>
      </c>
      <c r="E53" s="42" t="s">
        <v>202</v>
      </c>
      <c r="F53" s="39" t="s">
        <v>53</v>
      </c>
      <c r="G53" s="11" t="s">
        <v>90</v>
      </c>
      <c r="H53" s="136">
        <v>0.272636</v>
      </c>
      <c r="I53" s="140">
        <v>1</v>
      </c>
      <c r="J53" s="136">
        <f>I53*$J$2</f>
        <v>0.06</v>
      </c>
      <c r="K53" s="136">
        <v>0</v>
      </c>
      <c r="L53" s="139"/>
      <c r="M53" s="139"/>
      <c r="N53" s="136"/>
      <c r="O53" s="11"/>
      <c r="P53" s="136"/>
      <c r="Q53" s="140"/>
      <c r="R53" s="136"/>
      <c r="S53" s="136"/>
      <c r="T53" s="136"/>
      <c r="U53" s="136">
        <f t="shared" si="11"/>
        <v>0.332636</v>
      </c>
    </row>
    <row r="54" spans="1:21" ht="15" hidden="1" outlineLevel="2">
      <c r="A54" s="6" t="str">
        <f>A53</f>
        <v>M216</v>
      </c>
      <c r="B54" s="11" t="str">
        <f>B53</f>
        <v>DCJ</v>
      </c>
      <c r="C54" s="11" t="str">
        <f>C53</f>
        <v>ACJ WEST</v>
      </c>
      <c r="D54" s="13" t="str">
        <f>D53</f>
        <v>CJ045.DOC.SUP.FEL.WEST</v>
      </c>
      <c r="E54" s="24" t="str">
        <f>E53</f>
        <v>50-10</v>
      </c>
      <c r="F54" s="39" t="s">
        <v>585</v>
      </c>
      <c r="G54" s="24" t="s">
        <v>585</v>
      </c>
      <c r="H54" s="136"/>
      <c r="I54" s="140"/>
      <c r="J54" s="136"/>
      <c r="K54" s="136"/>
      <c r="L54" s="139">
        <v>4</v>
      </c>
      <c r="M54" s="139">
        <v>0.083</v>
      </c>
      <c r="N54" s="136">
        <f>L54*M54*$N$2</f>
        <v>1040.8200000000002</v>
      </c>
      <c r="O54" s="11"/>
      <c r="P54" s="136"/>
      <c r="Q54" s="140"/>
      <c r="R54" s="136"/>
      <c r="S54" s="136"/>
      <c r="T54" s="136"/>
      <c r="U54" s="136">
        <f t="shared" si="11"/>
        <v>1040.8200000000002</v>
      </c>
    </row>
    <row r="55" spans="1:21" ht="15" hidden="1" outlineLevel="2">
      <c r="A55" s="28" t="s">
        <v>212</v>
      </c>
      <c r="B55" s="11" t="str">
        <f aca="true" t="shared" si="12" ref="B55:E56">B54</f>
        <v>DCJ</v>
      </c>
      <c r="C55" s="11" t="str">
        <f t="shared" si="12"/>
        <v>ACJ WEST</v>
      </c>
      <c r="D55" s="13" t="str">
        <f t="shared" si="12"/>
        <v>CJ045.DOC.SUP.FEL.WEST</v>
      </c>
      <c r="E55" s="38" t="str">
        <f t="shared" si="12"/>
        <v>50-10</v>
      </c>
      <c r="F55" s="20" t="s">
        <v>615</v>
      </c>
      <c r="G55" s="11" t="s">
        <v>615</v>
      </c>
      <c r="H55" s="136"/>
      <c r="I55" s="140"/>
      <c r="J55" s="136"/>
      <c r="K55" s="136"/>
      <c r="L55" s="139"/>
      <c r="M55" s="139"/>
      <c r="N55" s="136"/>
      <c r="O55" s="29">
        <f>1+0.5+0.25</f>
        <v>1.75</v>
      </c>
      <c r="P55" s="136">
        <f>O55*$P$2</f>
        <v>126</v>
      </c>
      <c r="Q55" s="140"/>
      <c r="R55" s="136"/>
      <c r="S55" s="136"/>
      <c r="T55" s="136"/>
      <c r="U55" s="136">
        <f t="shared" si="11"/>
        <v>126</v>
      </c>
    </row>
    <row r="56" spans="1:21" ht="15" hidden="1" outlineLevel="2">
      <c r="A56" s="36" t="s">
        <v>649</v>
      </c>
      <c r="B56" s="11" t="str">
        <f t="shared" si="12"/>
        <v>DCJ</v>
      </c>
      <c r="C56" s="11" t="str">
        <f t="shared" si="12"/>
        <v>ACJ WEST</v>
      </c>
      <c r="D56" s="13" t="str">
        <f t="shared" si="12"/>
        <v>CJ045.DOC.SUP.FEL.WEST</v>
      </c>
      <c r="E56" s="27" t="str">
        <f t="shared" si="12"/>
        <v>50-10</v>
      </c>
      <c r="F56" s="20" t="s">
        <v>683</v>
      </c>
      <c r="G56" s="11" t="s">
        <v>683</v>
      </c>
      <c r="H56" s="136"/>
      <c r="I56" s="140"/>
      <c r="J56" s="136"/>
      <c r="K56" s="136"/>
      <c r="L56" s="139"/>
      <c r="M56" s="139"/>
      <c r="N56" s="136"/>
      <c r="O56" s="34"/>
      <c r="P56" s="136"/>
      <c r="Q56" s="140"/>
      <c r="R56" s="136"/>
      <c r="S56" s="136"/>
      <c r="T56" s="150">
        <v>6.44</v>
      </c>
      <c r="U56" s="136">
        <f t="shared" si="11"/>
        <v>6.44</v>
      </c>
    </row>
    <row r="57" spans="1:21" ht="15" hidden="1" outlineLevel="2">
      <c r="A57" s="36" t="s">
        <v>649</v>
      </c>
      <c r="B57" s="11" t="str">
        <f>B55</f>
        <v>DCJ</v>
      </c>
      <c r="C57" s="11" t="str">
        <f>C55</f>
        <v>ACJ WEST</v>
      </c>
      <c r="D57" s="13" t="str">
        <f>D55</f>
        <v>CJ045.DOC.SUP.FEL.WEST</v>
      </c>
      <c r="E57" s="27" t="str">
        <f>E55</f>
        <v>50-10</v>
      </c>
      <c r="F57" s="20" t="s">
        <v>53</v>
      </c>
      <c r="G57" s="11" t="s">
        <v>684</v>
      </c>
      <c r="H57" s="136"/>
      <c r="I57" s="140"/>
      <c r="J57" s="136"/>
      <c r="K57" s="136"/>
      <c r="L57" s="139"/>
      <c r="M57" s="139"/>
      <c r="N57" s="136"/>
      <c r="O57" s="34"/>
      <c r="P57" s="136"/>
      <c r="Q57" s="140"/>
      <c r="R57" s="136">
        <v>25.6</v>
      </c>
      <c r="S57" s="136"/>
      <c r="T57" s="150"/>
      <c r="U57" s="136">
        <f t="shared" si="11"/>
        <v>25.6</v>
      </c>
    </row>
    <row r="58" spans="1:21" s="5" customFormat="1" ht="15.75" outlineLevel="1" collapsed="1">
      <c r="A58" s="64" t="s">
        <v>806</v>
      </c>
      <c r="B58" s="45"/>
      <c r="C58" s="45"/>
      <c r="D58" s="61"/>
      <c r="E58" s="52"/>
      <c r="F58" s="51"/>
      <c r="G58" s="45"/>
      <c r="H58" s="137">
        <f aca="true" t="shared" si="13" ref="H58:U58">SUBTOTAL(9,H48:H57)</f>
        <v>655.3466878</v>
      </c>
      <c r="I58" s="167">
        <f t="shared" si="13"/>
        <v>756</v>
      </c>
      <c r="J58" s="137">
        <f t="shared" si="13"/>
        <v>55.8</v>
      </c>
      <c r="K58" s="137">
        <f t="shared" si="13"/>
        <v>180</v>
      </c>
      <c r="L58" s="141">
        <f t="shared" si="13"/>
        <v>4</v>
      </c>
      <c r="M58" s="141">
        <f t="shared" si="13"/>
        <v>0.083</v>
      </c>
      <c r="N58" s="137">
        <f t="shared" si="13"/>
        <v>1040.8200000000002</v>
      </c>
      <c r="O58" s="65">
        <f t="shared" si="13"/>
        <v>1.75</v>
      </c>
      <c r="P58" s="137">
        <f t="shared" si="13"/>
        <v>126</v>
      </c>
      <c r="Q58" s="167">
        <f t="shared" si="13"/>
        <v>0</v>
      </c>
      <c r="R58" s="137">
        <f t="shared" si="13"/>
        <v>25.6</v>
      </c>
      <c r="S58" s="137">
        <f t="shared" si="13"/>
        <v>0</v>
      </c>
      <c r="T58" s="137">
        <f t="shared" si="13"/>
        <v>6.44</v>
      </c>
      <c r="U58" s="137">
        <f t="shared" si="13"/>
        <v>2090.0066878</v>
      </c>
    </row>
    <row r="59" spans="1:21" ht="15" hidden="1" outlineLevel="2">
      <c r="A59" s="6" t="s">
        <v>215</v>
      </c>
      <c r="B59" s="7" t="s">
        <v>147</v>
      </c>
      <c r="C59" s="7" t="s">
        <v>210</v>
      </c>
      <c r="D59" s="7" t="s">
        <v>216</v>
      </c>
      <c r="E59" s="42" t="s">
        <v>202</v>
      </c>
      <c r="F59" s="39" t="s">
        <v>53</v>
      </c>
      <c r="G59" s="24" t="s">
        <v>62</v>
      </c>
      <c r="H59" s="136">
        <v>25.307961000000002</v>
      </c>
      <c r="I59" s="149">
        <v>76</v>
      </c>
      <c r="J59" s="136">
        <f>I59*$J$1</f>
        <v>7.6000000000000005</v>
      </c>
      <c r="K59" s="136">
        <v>45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aca="true" t="shared" si="14" ref="U59:U64">H59+J59+K59+N59+P59+R59+S59+T59</f>
        <v>77.907961</v>
      </c>
    </row>
    <row r="60" spans="1:21" ht="15" hidden="1" outlineLevel="2">
      <c r="A60" s="6" t="s">
        <v>215</v>
      </c>
      <c r="B60" s="7" t="s">
        <v>147</v>
      </c>
      <c r="C60" s="7" t="s">
        <v>210</v>
      </c>
      <c r="D60" s="7" t="s">
        <v>216</v>
      </c>
      <c r="E60" s="42" t="s">
        <v>202</v>
      </c>
      <c r="F60" s="39" t="s">
        <v>53</v>
      </c>
      <c r="G60" s="11" t="s">
        <v>63</v>
      </c>
      <c r="H60" s="136">
        <v>5.29543</v>
      </c>
      <c r="I60" s="140">
        <v>1</v>
      </c>
      <c r="J60" s="136">
        <f>I60*$J$2</f>
        <v>0.06</v>
      </c>
      <c r="K60" s="136">
        <v>0</v>
      </c>
      <c r="L60" s="139"/>
      <c r="M60" s="139"/>
      <c r="N60" s="136"/>
      <c r="O60" s="11"/>
      <c r="P60" s="136"/>
      <c r="Q60" s="140"/>
      <c r="R60" s="136"/>
      <c r="S60" s="136"/>
      <c r="T60" s="136"/>
      <c r="U60" s="136">
        <f t="shared" si="14"/>
        <v>5.355429999999999</v>
      </c>
    </row>
    <row r="61" spans="1:21" ht="15" hidden="1" outlineLevel="2">
      <c r="A61" s="6" t="s">
        <v>215</v>
      </c>
      <c r="B61" s="7" t="s">
        <v>147</v>
      </c>
      <c r="C61" s="7" t="s">
        <v>210</v>
      </c>
      <c r="D61" s="7" t="s">
        <v>216</v>
      </c>
      <c r="E61" s="42" t="s">
        <v>202</v>
      </c>
      <c r="F61" s="39" t="s">
        <v>53</v>
      </c>
      <c r="G61" s="24" t="s">
        <v>64</v>
      </c>
      <c r="H61" s="136">
        <v>1.195404</v>
      </c>
      <c r="I61" s="149">
        <v>1</v>
      </c>
      <c r="J61" s="136">
        <f>I61*$J$2</f>
        <v>0.06</v>
      </c>
      <c r="K61" s="136">
        <v>0</v>
      </c>
      <c r="L61" s="139"/>
      <c r="M61" s="139"/>
      <c r="N61" s="136"/>
      <c r="O61" s="11"/>
      <c r="P61" s="136"/>
      <c r="Q61" s="140"/>
      <c r="R61" s="136"/>
      <c r="S61" s="136"/>
      <c r="T61" s="136"/>
      <c r="U61" s="136">
        <f t="shared" si="14"/>
        <v>1.255404</v>
      </c>
    </row>
    <row r="62" spans="1:21" ht="15" hidden="1" outlineLevel="2">
      <c r="A62" s="6" t="s">
        <v>215</v>
      </c>
      <c r="B62" s="7" t="s">
        <v>147</v>
      </c>
      <c r="C62" s="7" t="s">
        <v>210</v>
      </c>
      <c r="D62" s="7" t="s">
        <v>216</v>
      </c>
      <c r="E62" s="42" t="s">
        <v>202</v>
      </c>
      <c r="F62" s="39" t="s">
        <v>53</v>
      </c>
      <c r="G62" s="24" t="s">
        <v>65</v>
      </c>
      <c r="H62" s="136">
        <v>88.15999639999998</v>
      </c>
      <c r="I62" s="149">
        <v>192</v>
      </c>
      <c r="J62" s="136">
        <f>I62*$J$2</f>
        <v>11.52</v>
      </c>
      <c r="K62" s="136">
        <v>135</v>
      </c>
      <c r="L62" s="139"/>
      <c r="M62" s="139"/>
      <c r="N62" s="136"/>
      <c r="O62" s="11"/>
      <c r="P62" s="136"/>
      <c r="Q62" s="140"/>
      <c r="R62" s="136"/>
      <c r="S62" s="136"/>
      <c r="T62" s="136"/>
      <c r="U62" s="136">
        <f t="shared" si="14"/>
        <v>234.6799964</v>
      </c>
    </row>
    <row r="63" spans="1:21" ht="15" hidden="1" outlineLevel="2">
      <c r="A63" s="6" t="s">
        <v>215</v>
      </c>
      <c r="B63" s="7" t="s">
        <v>147</v>
      </c>
      <c r="C63" s="7" t="s">
        <v>210</v>
      </c>
      <c r="D63" s="7" t="s">
        <v>216</v>
      </c>
      <c r="E63" s="42" t="s">
        <v>202</v>
      </c>
      <c r="F63" s="39" t="s">
        <v>53</v>
      </c>
      <c r="G63" s="11" t="s">
        <v>66</v>
      </c>
      <c r="H63" s="136">
        <v>0.9112334</v>
      </c>
      <c r="I63" s="140">
        <v>1</v>
      </c>
      <c r="J63" s="136">
        <f>I63*$J$2</f>
        <v>0.06</v>
      </c>
      <c r="K63" s="136">
        <v>0</v>
      </c>
      <c r="L63" s="139"/>
      <c r="M63" s="139"/>
      <c r="N63" s="136"/>
      <c r="O63" s="11"/>
      <c r="P63" s="136"/>
      <c r="Q63" s="140"/>
      <c r="R63" s="136"/>
      <c r="S63" s="136"/>
      <c r="T63" s="136"/>
      <c r="U63" s="136">
        <f t="shared" si="14"/>
        <v>0.9712334</v>
      </c>
    </row>
    <row r="64" spans="1:21" ht="15" hidden="1" outlineLevel="2">
      <c r="A64" s="28" t="s">
        <v>215</v>
      </c>
      <c r="B64" s="11" t="str">
        <f>B63</f>
        <v>DCJ</v>
      </c>
      <c r="C64" s="11" t="str">
        <f>C63</f>
        <v>ACJ</v>
      </c>
      <c r="D64" s="13" t="str">
        <f>D63</f>
        <v>CJ045.DOC.HRDU</v>
      </c>
      <c r="E64" s="38" t="str">
        <f>E63</f>
        <v>50-10</v>
      </c>
      <c r="F64" s="20" t="s">
        <v>615</v>
      </c>
      <c r="G64" s="11" t="s">
        <v>615</v>
      </c>
      <c r="H64" s="136"/>
      <c r="I64" s="140"/>
      <c r="J64" s="136"/>
      <c r="K64" s="136"/>
      <c r="L64" s="139"/>
      <c r="M64" s="139"/>
      <c r="N64" s="136"/>
      <c r="O64" s="29">
        <v>1.25</v>
      </c>
      <c r="P64" s="136">
        <f>O64*$P$2</f>
        <v>90</v>
      </c>
      <c r="Q64" s="140"/>
      <c r="R64" s="136"/>
      <c r="S64" s="136"/>
      <c r="T64" s="136"/>
      <c r="U64" s="136">
        <f t="shared" si="14"/>
        <v>90</v>
      </c>
    </row>
    <row r="65" spans="1:21" s="5" customFormat="1" ht="15.75" outlineLevel="1" collapsed="1">
      <c r="A65" s="64" t="s">
        <v>807</v>
      </c>
      <c r="B65" s="45"/>
      <c r="C65" s="45"/>
      <c r="D65" s="61"/>
      <c r="E65" s="52"/>
      <c r="F65" s="51"/>
      <c r="G65" s="45"/>
      <c r="H65" s="137">
        <f aca="true" t="shared" si="15" ref="H65:U65">SUBTOTAL(9,H59:H64)</f>
        <v>120.87002479999998</v>
      </c>
      <c r="I65" s="167">
        <f t="shared" si="15"/>
        <v>271</v>
      </c>
      <c r="J65" s="137">
        <f t="shared" si="15"/>
        <v>19.299999999999997</v>
      </c>
      <c r="K65" s="137">
        <f t="shared" si="15"/>
        <v>180</v>
      </c>
      <c r="L65" s="141">
        <f t="shared" si="15"/>
        <v>0</v>
      </c>
      <c r="M65" s="141">
        <f t="shared" si="15"/>
        <v>0</v>
      </c>
      <c r="N65" s="137">
        <f t="shared" si="15"/>
        <v>0</v>
      </c>
      <c r="O65" s="65">
        <f t="shared" si="15"/>
        <v>1.25</v>
      </c>
      <c r="P65" s="137">
        <f t="shared" si="15"/>
        <v>90</v>
      </c>
      <c r="Q65" s="167">
        <f t="shared" si="15"/>
        <v>0</v>
      </c>
      <c r="R65" s="137">
        <f t="shared" si="15"/>
        <v>0</v>
      </c>
      <c r="S65" s="137">
        <f t="shared" si="15"/>
        <v>0</v>
      </c>
      <c r="T65" s="137">
        <f t="shared" si="15"/>
        <v>0</v>
      </c>
      <c r="U65" s="137">
        <f t="shared" si="15"/>
        <v>410.1700248</v>
      </c>
    </row>
    <row r="66" spans="1:21" ht="15" hidden="1" outlineLevel="2">
      <c r="A66" s="9" t="s">
        <v>9</v>
      </c>
      <c r="B66" s="25" t="s">
        <v>147</v>
      </c>
      <c r="C66" s="16" t="s">
        <v>593</v>
      </c>
      <c r="D66" s="26">
        <v>502700</v>
      </c>
      <c r="E66" s="27" t="s">
        <v>202</v>
      </c>
      <c r="F66" s="20" t="s">
        <v>585</v>
      </c>
      <c r="G66" s="27" t="s">
        <v>585</v>
      </c>
      <c r="H66" s="136"/>
      <c r="I66" s="149"/>
      <c r="J66" s="136"/>
      <c r="K66" s="136"/>
      <c r="L66" s="139">
        <v>4</v>
      </c>
      <c r="M66" s="139">
        <v>0.083</v>
      </c>
      <c r="N66" s="136">
        <f>L66*M66*$N$2</f>
        <v>1040.8200000000002</v>
      </c>
      <c r="O66" s="11"/>
      <c r="P66" s="136"/>
      <c r="Q66" s="140"/>
      <c r="R66" s="136"/>
      <c r="S66" s="136"/>
      <c r="T66" s="136"/>
      <c r="U66" s="136">
        <f>H66+J66+K66+N66+P66+R66+S66+T66</f>
        <v>1040.8200000000002</v>
      </c>
    </row>
    <row r="67" spans="1:21" s="5" customFormat="1" ht="15.75" outlineLevel="1" collapsed="1">
      <c r="A67" s="64" t="s">
        <v>808</v>
      </c>
      <c r="B67" s="45"/>
      <c r="C67" s="45"/>
      <c r="D67" s="61"/>
      <c r="E67" s="52"/>
      <c r="F67" s="51"/>
      <c r="G67" s="45"/>
      <c r="H67" s="137">
        <f aca="true" t="shared" si="16" ref="H67:U67">SUBTOTAL(9,H66:H66)</f>
        <v>0</v>
      </c>
      <c r="I67" s="167">
        <f t="shared" si="16"/>
        <v>0</v>
      </c>
      <c r="J67" s="137">
        <f t="shared" si="16"/>
        <v>0</v>
      </c>
      <c r="K67" s="137">
        <f t="shared" si="16"/>
        <v>0</v>
      </c>
      <c r="L67" s="141">
        <f t="shared" si="16"/>
        <v>4</v>
      </c>
      <c r="M67" s="141">
        <f t="shared" si="16"/>
        <v>0.083</v>
      </c>
      <c r="N67" s="137">
        <f t="shared" si="16"/>
        <v>1040.8200000000002</v>
      </c>
      <c r="O67" s="65">
        <f t="shared" si="16"/>
        <v>0</v>
      </c>
      <c r="P67" s="137">
        <f t="shared" si="16"/>
        <v>0</v>
      </c>
      <c r="Q67" s="167">
        <f t="shared" si="16"/>
        <v>0</v>
      </c>
      <c r="R67" s="137">
        <f t="shared" si="16"/>
        <v>0</v>
      </c>
      <c r="S67" s="137">
        <f t="shared" si="16"/>
        <v>0</v>
      </c>
      <c r="T67" s="137">
        <f t="shared" si="16"/>
        <v>0</v>
      </c>
      <c r="U67" s="137">
        <f t="shared" si="16"/>
        <v>1040.8200000000002</v>
      </c>
    </row>
    <row r="68" spans="1:21" ht="15" hidden="1" outlineLevel="2">
      <c r="A68" s="6" t="s">
        <v>217</v>
      </c>
      <c r="B68" s="7" t="s">
        <v>147</v>
      </c>
      <c r="C68" s="7" t="s">
        <v>218</v>
      </c>
      <c r="D68" s="8" t="s">
        <v>219</v>
      </c>
      <c r="E68" s="42" t="s">
        <v>202</v>
      </c>
      <c r="F68" s="39" t="s">
        <v>53</v>
      </c>
      <c r="G68" s="24" t="s">
        <v>62</v>
      </c>
      <c r="H68" s="136">
        <v>117.26284079999999</v>
      </c>
      <c r="I68" s="149">
        <v>357</v>
      </c>
      <c r="J68" s="136">
        <f>I68*$J$1</f>
        <v>35.7</v>
      </c>
      <c r="K68" s="136">
        <v>15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aca="true" t="shared" si="17" ref="U68:U76">H68+J68+K68+N68+P68+R68+S68+T68</f>
        <v>167.96284079999998</v>
      </c>
    </row>
    <row r="69" spans="1:21" ht="15" hidden="1" outlineLevel="2">
      <c r="A69" s="6" t="s">
        <v>217</v>
      </c>
      <c r="B69" s="7" t="s">
        <v>147</v>
      </c>
      <c r="C69" s="7" t="s">
        <v>218</v>
      </c>
      <c r="D69" s="8" t="s">
        <v>219</v>
      </c>
      <c r="E69" s="42" t="s">
        <v>202</v>
      </c>
      <c r="F69" s="39" t="s">
        <v>53</v>
      </c>
      <c r="G69" s="24" t="s">
        <v>63</v>
      </c>
      <c r="H69" s="136">
        <v>87.0673552</v>
      </c>
      <c r="I69" s="149">
        <v>29</v>
      </c>
      <c r="J69" s="136">
        <f>I69*$J$2</f>
        <v>1.74</v>
      </c>
      <c r="K69" s="136">
        <v>15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 t="shared" si="17"/>
        <v>103.80735519999999</v>
      </c>
    </row>
    <row r="70" spans="1:21" ht="15" hidden="1" outlineLevel="2">
      <c r="A70" s="6" t="s">
        <v>217</v>
      </c>
      <c r="B70" s="7" t="s">
        <v>147</v>
      </c>
      <c r="C70" s="7" t="s">
        <v>218</v>
      </c>
      <c r="D70" s="8" t="s">
        <v>219</v>
      </c>
      <c r="E70" s="42" t="s">
        <v>202</v>
      </c>
      <c r="F70" s="39" t="s">
        <v>53</v>
      </c>
      <c r="G70" s="24" t="s">
        <v>64</v>
      </c>
      <c r="H70" s="136">
        <v>143.45791739999999</v>
      </c>
      <c r="I70" s="149">
        <v>100</v>
      </c>
      <c r="J70" s="136">
        <f>I70*$J$2</f>
        <v>6</v>
      </c>
      <c r="K70" s="136">
        <v>45</v>
      </c>
      <c r="L70" s="139"/>
      <c r="M70" s="139"/>
      <c r="N70" s="136"/>
      <c r="O70" s="11"/>
      <c r="P70" s="136"/>
      <c r="Q70" s="140"/>
      <c r="R70" s="136"/>
      <c r="S70" s="136"/>
      <c r="T70" s="136"/>
      <c r="U70" s="136">
        <f t="shared" si="17"/>
        <v>194.45791739999999</v>
      </c>
    </row>
    <row r="71" spans="1:21" ht="15" hidden="1" outlineLevel="2">
      <c r="A71" s="6" t="s">
        <v>217</v>
      </c>
      <c r="B71" s="7" t="s">
        <v>147</v>
      </c>
      <c r="C71" s="7" t="s">
        <v>218</v>
      </c>
      <c r="D71" s="8" t="s">
        <v>219</v>
      </c>
      <c r="E71" s="42" t="s">
        <v>202</v>
      </c>
      <c r="F71" s="39" t="s">
        <v>53</v>
      </c>
      <c r="G71" s="24" t="s">
        <v>65</v>
      </c>
      <c r="H71" s="136">
        <v>171.687278</v>
      </c>
      <c r="I71" s="149">
        <v>397</v>
      </c>
      <c r="J71" s="136">
        <f>I71*$J$2</f>
        <v>23.82</v>
      </c>
      <c r="K71" s="136">
        <v>75</v>
      </c>
      <c r="L71" s="139"/>
      <c r="M71" s="139"/>
      <c r="N71" s="136"/>
      <c r="O71" s="11"/>
      <c r="P71" s="136"/>
      <c r="Q71" s="140"/>
      <c r="R71" s="136"/>
      <c r="S71" s="136"/>
      <c r="T71" s="136"/>
      <c r="U71" s="136">
        <f t="shared" si="17"/>
        <v>270.507278</v>
      </c>
    </row>
    <row r="72" spans="1:21" ht="15" hidden="1" outlineLevel="2">
      <c r="A72" s="6" t="s">
        <v>217</v>
      </c>
      <c r="B72" s="7" t="s">
        <v>147</v>
      </c>
      <c r="C72" s="7" t="s">
        <v>218</v>
      </c>
      <c r="D72" s="8" t="s">
        <v>219</v>
      </c>
      <c r="E72" s="42" t="s">
        <v>202</v>
      </c>
      <c r="F72" s="39" t="s">
        <v>53</v>
      </c>
      <c r="G72" s="24" t="s">
        <v>66</v>
      </c>
      <c r="H72" s="136">
        <v>39.662246399999994</v>
      </c>
      <c r="I72" s="149">
        <v>35</v>
      </c>
      <c r="J72" s="136">
        <f>I72*$J$2</f>
        <v>2.1</v>
      </c>
      <c r="K72" s="136">
        <v>30</v>
      </c>
      <c r="L72" s="139"/>
      <c r="M72" s="139"/>
      <c r="N72" s="136"/>
      <c r="O72" s="11"/>
      <c r="P72" s="136"/>
      <c r="Q72" s="140"/>
      <c r="R72" s="136"/>
      <c r="S72" s="136"/>
      <c r="T72" s="136"/>
      <c r="U72" s="136">
        <f t="shared" si="17"/>
        <v>71.7622464</v>
      </c>
    </row>
    <row r="73" spans="1:21" ht="15" hidden="1" outlineLevel="2">
      <c r="A73" s="6" t="str">
        <f>A72</f>
        <v>M219</v>
      </c>
      <c r="B73" s="11" t="str">
        <f>B72</f>
        <v>DCJ</v>
      </c>
      <c r="C73" s="11" t="str">
        <f>C72</f>
        <v>ACJ CENTRALIZED PROC SVCS</v>
      </c>
      <c r="D73" s="13" t="str">
        <f>D72</f>
        <v>CJ045.DOC.SUP.SUPRT.LC</v>
      </c>
      <c r="E73" s="24" t="str">
        <f>E72</f>
        <v>50-10</v>
      </c>
      <c r="F73" s="39" t="s">
        <v>585</v>
      </c>
      <c r="G73" s="24" t="s">
        <v>585</v>
      </c>
      <c r="H73" s="136"/>
      <c r="I73" s="149"/>
      <c r="J73" s="136"/>
      <c r="K73" s="136"/>
      <c r="L73" s="139">
        <v>4</v>
      </c>
      <c r="M73" s="139">
        <v>0.083</v>
      </c>
      <c r="N73" s="136">
        <f>L73*M73*$N$2</f>
        <v>1040.8200000000002</v>
      </c>
      <c r="O73" s="11"/>
      <c r="P73" s="136"/>
      <c r="Q73" s="140"/>
      <c r="R73" s="136"/>
      <c r="S73" s="136"/>
      <c r="T73" s="136"/>
      <c r="U73" s="136">
        <f t="shared" si="17"/>
        <v>1040.8200000000002</v>
      </c>
    </row>
    <row r="74" spans="1:21" ht="15" hidden="1" outlineLevel="2">
      <c r="A74" s="28" t="s">
        <v>217</v>
      </c>
      <c r="B74" s="11" t="str">
        <f aca="true" t="shared" si="18" ref="B74:E75">B73</f>
        <v>DCJ</v>
      </c>
      <c r="C74" s="11" t="str">
        <f t="shared" si="18"/>
        <v>ACJ CENTRALIZED PROC SVCS</v>
      </c>
      <c r="D74" s="13" t="str">
        <f t="shared" si="18"/>
        <v>CJ045.DOC.SUP.SUPRT.LC</v>
      </c>
      <c r="E74" s="38" t="str">
        <f t="shared" si="18"/>
        <v>50-10</v>
      </c>
      <c r="F74" s="20" t="s">
        <v>615</v>
      </c>
      <c r="G74" s="11" t="s">
        <v>615</v>
      </c>
      <c r="H74" s="136"/>
      <c r="I74" s="140"/>
      <c r="J74" s="136"/>
      <c r="K74" s="136"/>
      <c r="L74" s="139"/>
      <c r="M74" s="139"/>
      <c r="N74" s="136"/>
      <c r="O74" s="29">
        <f>0.75+0.5</f>
        <v>1.25</v>
      </c>
      <c r="P74" s="136">
        <f>O74*$P$2</f>
        <v>90</v>
      </c>
      <c r="Q74" s="140"/>
      <c r="R74" s="136"/>
      <c r="S74" s="136"/>
      <c r="T74" s="136"/>
      <c r="U74" s="136">
        <f t="shared" si="17"/>
        <v>90</v>
      </c>
    </row>
    <row r="75" spans="1:21" ht="15" hidden="1" outlineLevel="2">
      <c r="A75" s="36" t="s">
        <v>650</v>
      </c>
      <c r="B75" s="11" t="str">
        <f t="shared" si="18"/>
        <v>DCJ</v>
      </c>
      <c r="C75" s="11" t="str">
        <f t="shared" si="18"/>
        <v>ACJ CENTRALIZED PROC SVCS</v>
      </c>
      <c r="D75" s="13" t="str">
        <f t="shared" si="18"/>
        <v>CJ045.DOC.SUP.SUPRT.LC</v>
      </c>
      <c r="E75" s="27" t="str">
        <f t="shared" si="18"/>
        <v>50-10</v>
      </c>
      <c r="F75" s="20" t="s">
        <v>683</v>
      </c>
      <c r="G75" s="11" t="s">
        <v>683</v>
      </c>
      <c r="H75" s="136"/>
      <c r="I75" s="140"/>
      <c r="J75" s="136"/>
      <c r="K75" s="136"/>
      <c r="L75" s="139"/>
      <c r="M75" s="139"/>
      <c r="N75" s="136"/>
      <c r="O75" s="34"/>
      <c r="P75" s="136"/>
      <c r="Q75" s="140"/>
      <c r="R75" s="136"/>
      <c r="S75" s="136"/>
      <c r="T75" s="150">
        <v>7.38</v>
      </c>
      <c r="U75" s="136">
        <f t="shared" si="17"/>
        <v>7.38</v>
      </c>
    </row>
    <row r="76" spans="1:21" ht="15" hidden="1" outlineLevel="2">
      <c r="A76" s="36" t="s">
        <v>650</v>
      </c>
      <c r="B76" s="11" t="str">
        <f>B74</f>
        <v>DCJ</v>
      </c>
      <c r="C76" s="11" t="str">
        <f>C74</f>
        <v>ACJ CENTRALIZED PROC SVCS</v>
      </c>
      <c r="D76" s="13" t="str">
        <f>D74</f>
        <v>CJ045.DOC.SUP.SUPRT.LC</v>
      </c>
      <c r="E76" s="27" t="str">
        <f>E74</f>
        <v>50-10</v>
      </c>
      <c r="F76" s="20" t="s">
        <v>53</v>
      </c>
      <c r="G76" s="11" t="s">
        <v>684</v>
      </c>
      <c r="H76" s="136"/>
      <c r="I76" s="140"/>
      <c r="J76" s="136"/>
      <c r="K76" s="136"/>
      <c r="L76" s="139"/>
      <c r="M76" s="139"/>
      <c r="N76" s="136"/>
      <c r="O76" s="34"/>
      <c r="P76" s="136"/>
      <c r="Q76" s="140"/>
      <c r="R76" s="136">
        <v>25.6</v>
      </c>
      <c r="S76" s="136"/>
      <c r="T76" s="150"/>
      <c r="U76" s="136">
        <f t="shared" si="17"/>
        <v>25.6</v>
      </c>
    </row>
    <row r="77" spans="1:21" s="5" customFormat="1" ht="15.75" outlineLevel="1" collapsed="1">
      <c r="A77" s="64" t="s">
        <v>809</v>
      </c>
      <c r="B77" s="45"/>
      <c r="C77" s="45"/>
      <c r="D77" s="61"/>
      <c r="E77" s="52"/>
      <c r="F77" s="51"/>
      <c r="G77" s="45"/>
      <c r="H77" s="137">
        <f aca="true" t="shared" si="19" ref="H77:U77">SUBTOTAL(9,H68:H76)</f>
        <v>559.1376378</v>
      </c>
      <c r="I77" s="167">
        <f t="shared" si="19"/>
        <v>918</v>
      </c>
      <c r="J77" s="137">
        <f t="shared" si="19"/>
        <v>69.36</v>
      </c>
      <c r="K77" s="137">
        <f t="shared" si="19"/>
        <v>180</v>
      </c>
      <c r="L77" s="141">
        <f t="shared" si="19"/>
        <v>4</v>
      </c>
      <c r="M77" s="141">
        <f t="shared" si="19"/>
        <v>0.083</v>
      </c>
      <c r="N77" s="137">
        <f t="shared" si="19"/>
        <v>1040.8200000000002</v>
      </c>
      <c r="O77" s="65">
        <f t="shared" si="19"/>
        <v>1.25</v>
      </c>
      <c r="P77" s="137">
        <f t="shared" si="19"/>
        <v>90</v>
      </c>
      <c r="Q77" s="167">
        <f t="shared" si="19"/>
        <v>0</v>
      </c>
      <c r="R77" s="137">
        <f t="shared" si="19"/>
        <v>25.6</v>
      </c>
      <c r="S77" s="137">
        <f t="shared" si="19"/>
        <v>0</v>
      </c>
      <c r="T77" s="137">
        <f t="shared" si="19"/>
        <v>7.38</v>
      </c>
      <c r="U77" s="137">
        <f t="shared" si="19"/>
        <v>1972.2976378</v>
      </c>
    </row>
    <row r="78" spans="1:21" ht="15" hidden="1" outlineLevel="2">
      <c r="A78" s="6" t="s">
        <v>220</v>
      </c>
      <c r="B78" s="7" t="s">
        <v>147</v>
      </c>
      <c r="C78" s="7" t="s">
        <v>221</v>
      </c>
      <c r="D78" s="8" t="s">
        <v>222</v>
      </c>
      <c r="E78" s="42" t="s">
        <v>202</v>
      </c>
      <c r="F78" s="39" t="s">
        <v>53</v>
      </c>
      <c r="G78" s="24" t="s">
        <v>62</v>
      </c>
      <c r="H78" s="136">
        <v>87.3368454</v>
      </c>
      <c r="I78" s="149">
        <v>264</v>
      </c>
      <c r="J78" s="136">
        <f>I78*$J$1</f>
        <v>26.400000000000002</v>
      </c>
      <c r="K78" s="136">
        <v>15</v>
      </c>
      <c r="L78" s="139"/>
      <c r="M78" s="139"/>
      <c r="N78" s="136"/>
      <c r="O78" s="11"/>
      <c r="P78" s="136"/>
      <c r="Q78" s="140"/>
      <c r="R78" s="136"/>
      <c r="S78" s="136"/>
      <c r="T78" s="136"/>
      <c r="U78" s="136">
        <f aca="true" t="shared" si="20" ref="U78:U83">H78+J78+K78+N78+P78+R78+S78+T78</f>
        <v>128.7368454</v>
      </c>
    </row>
    <row r="79" spans="1:21" ht="15" hidden="1" outlineLevel="2">
      <c r="A79" s="6" t="s">
        <v>220</v>
      </c>
      <c r="B79" s="7" t="s">
        <v>147</v>
      </c>
      <c r="C79" s="7" t="s">
        <v>221</v>
      </c>
      <c r="D79" s="8" t="s">
        <v>222</v>
      </c>
      <c r="E79" s="42" t="s">
        <v>202</v>
      </c>
      <c r="F79" s="39" t="s">
        <v>53</v>
      </c>
      <c r="G79" s="24" t="s">
        <v>63</v>
      </c>
      <c r="H79" s="136">
        <v>89.613356</v>
      </c>
      <c r="I79" s="149">
        <v>21</v>
      </c>
      <c r="J79" s="136">
        <f>I79*$J$2</f>
        <v>1.26</v>
      </c>
      <c r="K79" s="136">
        <v>0</v>
      </c>
      <c r="L79" s="139"/>
      <c r="M79" s="139"/>
      <c r="N79" s="136"/>
      <c r="O79" s="11"/>
      <c r="P79" s="136"/>
      <c r="Q79" s="140"/>
      <c r="R79" s="136"/>
      <c r="S79" s="136"/>
      <c r="T79" s="136"/>
      <c r="U79" s="136">
        <f t="shared" si="20"/>
        <v>90.873356</v>
      </c>
    </row>
    <row r="80" spans="1:21" ht="15" hidden="1" outlineLevel="2">
      <c r="A80" s="6" t="s">
        <v>220</v>
      </c>
      <c r="B80" s="7" t="s">
        <v>147</v>
      </c>
      <c r="C80" s="7" t="s">
        <v>221</v>
      </c>
      <c r="D80" s="8" t="s">
        <v>222</v>
      </c>
      <c r="E80" s="42" t="s">
        <v>202</v>
      </c>
      <c r="F80" s="39" t="s">
        <v>53</v>
      </c>
      <c r="G80" s="24" t="s">
        <v>64</v>
      </c>
      <c r="H80" s="136">
        <v>41.6954818</v>
      </c>
      <c r="I80" s="149">
        <v>38</v>
      </c>
      <c r="J80" s="136">
        <f>I80*$J$2</f>
        <v>2.28</v>
      </c>
      <c r="K80" s="136">
        <v>15</v>
      </c>
      <c r="L80" s="139"/>
      <c r="M80" s="139"/>
      <c r="N80" s="136"/>
      <c r="O80" s="11"/>
      <c r="P80" s="136"/>
      <c r="Q80" s="140"/>
      <c r="R80" s="136"/>
      <c r="S80" s="136"/>
      <c r="T80" s="136"/>
      <c r="U80" s="136">
        <f t="shared" si="20"/>
        <v>58.975481800000004</v>
      </c>
    </row>
    <row r="81" spans="1:21" ht="15" hidden="1" outlineLevel="2">
      <c r="A81" s="6" t="s">
        <v>220</v>
      </c>
      <c r="B81" s="7" t="s">
        <v>147</v>
      </c>
      <c r="C81" s="7" t="s">
        <v>221</v>
      </c>
      <c r="D81" s="8" t="s">
        <v>222</v>
      </c>
      <c r="E81" s="42" t="s">
        <v>202</v>
      </c>
      <c r="F81" s="39" t="s">
        <v>53</v>
      </c>
      <c r="G81" s="24" t="s">
        <v>65</v>
      </c>
      <c r="H81" s="136">
        <v>181.64897799999997</v>
      </c>
      <c r="I81" s="149">
        <v>397</v>
      </c>
      <c r="J81" s="136">
        <f>I81*$J$2</f>
        <v>23.82</v>
      </c>
      <c r="K81" s="136">
        <v>150</v>
      </c>
      <c r="L81" s="139"/>
      <c r="M81" s="139"/>
      <c r="N81" s="136"/>
      <c r="O81" s="11"/>
      <c r="P81" s="136"/>
      <c r="Q81" s="140"/>
      <c r="R81" s="136"/>
      <c r="S81" s="136"/>
      <c r="T81" s="136"/>
      <c r="U81" s="136">
        <f t="shared" si="20"/>
        <v>355.468978</v>
      </c>
    </row>
    <row r="82" spans="1:21" ht="15" hidden="1" outlineLevel="2">
      <c r="A82" s="6" t="s">
        <v>220</v>
      </c>
      <c r="B82" s="7" t="s">
        <v>147</v>
      </c>
      <c r="C82" s="7" t="s">
        <v>221</v>
      </c>
      <c r="D82" s="8" t="s">
        <v>222</v>
      </c>
      <c r="E82" s="42" t="s">
        <v>202</v>
      </c>
      <c r="F82" s="39" t="s">
        <v>53</v>
      </c>
      <c r="G82" s="24" t="s">
        <v>66</v>
      </c>
      <c r="H82" s="136">
        <v>3.9385415999999998</v>
      </c>
      <c r="I82" s="149">
        <v>6</v>
      </c>
      <c r="J82" s="136">
        <f>I82*$J$2</f>
        <v>0.36</v>
      </c>
      <c r="K82" s="136">
        <v>0</v>
      </c>
      <c r="L82" s="139"/>
      <c r="M82" s="139"/>
      <c r="N82" s="136"/>
      <c r="O82" s="11"/>
      <c r="P82" s="136"/>
      <c r="Q82" s="140"/>
      <c r="R82" s="136"/>
      <c r="S82" s="136"/>
      <c r="T82" s="136"/>
      <c r="U82" s="136">
        <f t="shared" si="20"/>
        <v>4.2985416</v>
      </c>
    </row>
    <row r="83" spans="1:21" s="22" customFormat="1" ht="15" hidden="1" outlineLevel="2">
      <c r="A83" s="6" t="str">
        <f>A82</f>
        <v>M220</v>
      </c>
      <c r="B83" s="11" t="str">
        <f>B82</f>
        <v>DCJ</v>
      </c>
      <c r="C83" s="11" t="str">
        <f>C82</f>
        <v>ACJ EAST/SE DISTRICT</v>
      </c>
      <c r="D83" s="13" t="str">
        <f>D82</f>
        <v>CJ045.DOC.SUP.FEL.CENTRL   </v>
      </c>
      <c r="E83" s="24" t="str">
        <f>E82</f>
        <v>50-10</v>
      </c>
      <c r="F83" s="39" t="s">
        <v>585</v>
      </c>
      <c r="G83" s="24" t="s">
        <v>585</v>
      </c>
      <c r="H83" s="136"/>
      <c r="I83" s="149"/>
      <c r="J83" s="136"/>
      <c r="K83" s="136"/>
      <c r="L83" s="139">
        <v>2</v>
      </c>
      <c r="M83" s="139">
        <v>1</v>
      </c>
      <c r="N83" s="136">
        <f>L83*M83*$N$2</f>
        <v>6270</v>
      </c>
      <c r="O83" s="11"/>
      <c r="P83" s="136"/>
      <c r="Q83" s="140"/>
      <c r="R83" s="136"/>
      <c r="S83" s="136"/>
      <c r="T83" s="136"/>
      <c r="U83" s="136">
        <f t="shared" si="20"/>
        <v>6270</v>
      </c>
    </row>
    <row r="84" spans="1:21" s="5" customFormat="1" ht="15.75" outlineLevel="1" collapsed="1">
      <c r="A84" s="64" t="s">
        <v>810</v>
      </c>
      <c r="B84" s="45"/>
      <c r="C84" s="45"/>
      <c r="D84" s="61"/>
      <c r="E84" s="52"/>
      <c r="F84" s="51"/>
      <c r="G84" s="45"/>
      <c r="H84" s="137">
        <f aca="true" t="shared" si="21" ref="H84:U84">SUBTOTAL(9,H78:H83)</f>
        <v>404.23320279999996</v>
      </c>
      <c r="I84" s="167">
        <f t="shared" si="21"/>
        <v>726</v>
      </c>
      <c r="J84" s="137">
        <f t="shared" si="21"/>
        <v>54.120000000000005</v>
      </c>
      <c r="K84" s="137">
        <f t="shared" si="21"/>
        <v>180</v>
      </c>
      <c r="L84" s="141">
        <f t="shared" si="21"/>
        <v>2</v>
      </c>
      <c r="M84" s="141">
        <f t="shared" si="21"/>
        <v>1</v>
      </c>
      <c r="N84" s="137">
        <f t="shared" si="21"/>
        <v>6270</v>
      </c>
      <c r="O84" s="65">
        <f t="shared" si="21"/>
        <v>0</v>
      </c>
      <c r="P84" s="137">
        <f t="shared" si="21"/>
        <v>0</v>
      </c>
      <c r="Q84" s="167">
        <f t="shared" si="21"/>
        <v>0</v>
      </c>
      <c r="R84" s="137">
        <f t="shared" si="21"/>
        <v>0</v>
      </c>
      <c r="S84" s="137">
        <f t="shared" si="21"/>
        <v>0</v>
      </c>
      <c r="T84" s="137">
        <f t="shared" si="21"/>
        <v>0</v>
      </c>
      <c r="U84" s="137">
        <f t="shared" si="21"/>
        <v>6908.3532028</v>
      </c>
    </row>
    <row r="85" spans="1:21" ht="15" hidden="1" outlineLevel="2">
      <c r="A85" s="28" t="s">
        <v>611</v>
      </c>
      <c r="B85" s="11" t="str">
        <f>B83</f>
        <v>DCJ</v>
      </c>
      <c r="C85" s="11" t="str">
        <f>C83</f>
        <v>ACJ EAST/SE DISTRICT</v>
      </c>
      <c r="D85" s="13" t="str">
        <f>D83</f>
        <v>CJ045.DOC.SUP.FEL.CENTRL   </v>
      </c>
      <c r="E85" s="38" t="str">
        <f>E83</f>
        <v>50-10</v>
      </c>
      <c r="F85" s="20" t="s">
        <v>615</v>
      </c>
      <c r="G85" s="11" t="s">
        <v>615</v>
      </c>
      <c r="H85" s="136"/>
      <c r="I85" s="140"/>
      <c r="J85" s="136"/>
      <c r="K85" s="136"/>
      <c r="L85" s="139"/>
      <c r="M85" s="139"/>
      <c r="N85" s="136"/>
      <c r="O85" s="29">
        <f>0.25+1.25</f>
        <v>1.5</v>
      </c>
      <c r="P85" s="136">
        <f>O85*$P$2</f>
        <v>108</v>
      </c>
      <c r="Q85" s="140"/>
      <c r="R85" s="136"/>
      <c r="S85" s="136"/>
      <c r="T85" s="136"/>
      <c r="U85" s="136">
        <f>H85+J85+K85+N85+P85+R85+S85+T85</f>
        <v>108</v>
      </c>
    </row>
    <row r="86" spans="1:21" s="5" customFormat="1" ht="15.75" outlineLevel="1" collapsed="1">
      <c r="A86" s="64" t="s">
        <v>811</v>
      </c>
      <c r="B86" s="45"/>
      <c r="C86" s="45"/>
      <c r="D86" s="61"/>
      <c r="E86" s="52"/>
      <c r="F86" s="51"/>
      <c r="G86" s="45"/>
      <c r="H86" s="137">
        <f aca="true" t="shared" si="22" ref="H86:U86">SUBTOTAL(9,H85:H85)</f>
        <v>0</v>
      </c>
      <c r="I86" s="167">
        <f t="shared" si="22"/>
        <v>0</v>
      </c>
      <c r="J86" s="137">
        <f t="shared" si="22"/>
        <v>0</v>
      </c>
      <c r="K86" s="137">
        <f t="shared" si="22"/>
        <v>0</v>
      </c>
      <c r="L86" s="141">
        <f t="shared" si="22"/>
        <v>0</v>
      </c>
      <c r="M86" s="141">
        <f t="shared" si="22"/>
        <v>0</v>
      </c>
      <c r="N86" s="137">
        <f t="shared" si="22"/>
        <v>0</v>
      </c>
      <c r="O86" s="65">
        <f t="shared" si="22"/>
        <v>1.5</v>
      </c>
      <c r="P86" s="137">
        <f t="shared" si="22"/>
        <v>108</v>
      </c>
      <c r="Q86" s="167">
        <f t="shared" si="22"/>
        <v>0</v>
      </c>
      <c r="R86" s="137">
        <f t="shared" si="22"/>
        <v>0</v>
      </c>
      <c r="S86" s="137">
        <f t="shared" si="22"/>
        <v>0</v>
      </c>
      <c r="T86" s="137">
        <f t="shared" si="22"/>
        <v>0</v>
      </c>
      <c r="U86" s="137">
        <f t="shared" si="22"/>
        <v>108</v>
      </c>
    </row>
    <row r="87" spans="1:21" ht="15" hidden="1" outlineLevel="2">
      <c r="A87" s="6" t="s">
        <v>223</v>
      </c>
      <c r="B87" s="7" t="s">
        <v>147</v>
      </c>
      <c r="C87" s="7" t="s">
        <v>224</v>
      </c>
      <c r="D87" s="8" t="s">
        <v>225</v>
      </c>
      <c r="E87" s="42" t="s">
        <v>202</v>
      </c>
      <c r="F87" s="39" t="s">
        <v>53</v>
      </c>
      <c r="G87" s="24" t="s">
        <v>62</v>
      </c>
      <c r="H87" s="136">
        <v>133.91356019999998</v>
      </c>
      <c r="I87" s="149">
        <v>506</v>
      </c>
      <c r="J87" s="136">
        <f>I87*$J$1</f>
        <v>50.6</v>
      </c>
      <c r="K87" s="136">
        <v>30</v>
      </c>
      <c r="L87" s="139"/>
      <c r="M87" s="139"/>
      <c r="N87" s="136"/>
      <c r="O87" s="11"/>
      <c r="P87" s="136"/>
      <c r="Q87" s="140"/>
      <c r="R87" s="136"/>
      <c r="S87" s="136"/>
      <c r="T87" s="136"/>
      <c r="U87" s="136">
        <f aca="true" t="shared" si="23" ref="U87:U94">H87+J87+K87+N87+P87+R87+S87+T87</f>
        <v>214.51356019999997</v>
      </c>
    </row>
    <row r="88" spans="1:21" ht="15" hidden="1" outlineLevel="2">
      <c r="A88" s="6" t="s">
        <v>223</v>
      </c>
      <c r="B88" s="7" t="s">
        <v>147</v>
      </c>
      <c r="C88" s="7" t="s">
        <v>224</v>
      </c>
      <c r="D88" s="8" t="s">
        <v>225</v>
      </c>
      <c r="E88" s="42" t="s">
        <v>202</v>
      </c>
      <c r="F88" s="39" t="s">
        <v>53</v>
      </c>
      <c r="G88" s="24" t="s">
        <v>63</v>
      </c>
      <c r="H88" s="136">
        <v>61.8139214</v>
      </c>
      <c r="I88" s="149">
        <v>23</v>
      </c>
      <c r="J88" s="136">
        <f>I88*$J$2</f>
        <v>1.38</v>
      </c>
      <c r="K88" s="136">
        <v>0</v>
      </c>
      <c r="L88" s="139"/>
      <c r="M88" s="139"/>
      <c r="N88" s="136"/>
      <c r="O88" s="11"/>
      <c r="P88" s="136"/>
      <c r="Q88" s="140"/>
      <c r="R88" s="136"/>
      <c r="S88" s="136"/>
      <c r="T88" s="136"/>
      <c r="U88" s="136">
        <f t="shared" si="23"/>
        <v>63.1939214</v>
      </c>
    </row>
    <row r="89" spans="1:21" ht="15" hidden="1" outlineLevel="2">
      <c r="A89" s="6" t="s">
        <v>223</v>
      </c>
      <c r="B89" s="7" t="s">
        <v>147</v>
      </c>
      <c r="C89" s="7" t="s">
        <v>224</v>
      </c>
      <c r="D89" s="8" t="s">
        <v>225</v>
      </c>
      <c r="E89" s="42" t="s">
        <v>202</v>
      </c>
      <c r="F89" s="39" t="s">
        <v>53</v>
      </c>
      <c r="G89" s="24" t="s">
        <v>64</v>
      </c>
      <c r="H89" s="136">
        <v>27.440813399999996</v>
      </c>
      <c r="I89" s="149">
        <v>16</v>
      </c>
      <c r="J89" s="136">
        <f>I89*$J$2</f>
        <v>0.96</v>
      </c>
      <c r="K89" s="136">
        <v>0</v>
      </c>
      <c r="L89" s="139"/>
      <c r="M89" s="139"/>
      <c r="N89" s="136"/>
      <c r="O89" s="11"/>
      <c r="P89" s="136"/>
      <c r="Q89" s="140"/>
      <c r="R89" s="136"/>
      <c r="S89" s="136"/>
      <c r="T89" s="136"/>
      <c r="U89" s="136">
        <f t="shared" si="23"/>
        <v>28.400813399999997</v>
      </c>
    </row>
    <row r="90" spans="1:21" ht="15" hidden="1" outlineLevel="2">
      <c r="A90" s="6" t="s">
        <v>223</v>
      </c>
      <c r="B90" s="7" t="s">
        <v>147</v>
      </c>
      <c r="C90" s="7" t="s">
        <v>224</v>
      </c>
      <c r="D90" s="8" t="s">
        <v>225</v>
      </c>
      <c r="E90" s="42" t="s">
        <v>202</v>
      </c>
      <c r="F90" s="39" t="s">
        <v>53</v>
      </c>
      <c r="G90" s="24" t="s">
        <v>65</v>
      </c>
      <c r="H90" s="136">
        <v>149.14237799999998</v>
      </c>
      <c r="I90" s="149">
        <v>341</v>
      </c>
      <c r="J90" s="136">
        <f>I90*$J$2</f>
        <v>20.46</v>
      </c>
      <c r="K90" s="136">
        <v>150</v>
      </c>
      <c r="L90" s="139"/>
      <c r="M90" s="139"/>
      <c r="N90" s="136"/>
      <c r="O90" s="11"/>
      <c r="P90" s="136"/>
      <c r="Q90" s="140"/>
      <c r="R90" s="136"/>
      <c r="S90" s="136"/>
      <c r="T90" s="136"/>
      <c r="U90" s="136">
        <f t="shared" si="23"/>
        <v>319.602378</v>
      </c>
    </row>
    <row r="91" spans="1:21" ht="15" hidden="1" outlineLevel="2">
      <c r="A91" s="6" t="s">
        <v>223</v>
      </c>
      <c r="B91" s="7" t="s">
        <v>147</v>
      </c>
      <c r="C91" s="7" t="s">
        <v>224</v>
      </c>
      <c r="D91" s="8" t="s">
        <v>225</v>
      </c>
      <c r="E91" s="42" t="s">
        <v>202</v>
      </c>
      <c r="F91" s="39" t="s">
        <v>53</v>
      </c>
      <c r="G91" s="24" t="s">
        <v>66</v>
      </c>
      <c r="H91" s="136">
        <v>3.313576</v>
      </c>
      <c r="I91" s="149">
        <v>4</v>
      </c>
      <c r="J91" s="136">
        <f>I91*$J$2</f>
        <v>0.24</v>
      </c>
      <c r="K91" s="136">
        <v>0</v>
      </c>
      <c r="L91" s="139"/>
      <c r="M91" s="139"/>
      <c r="N91" s="136"/>
      <c r="O91" s="11"/>
      <c r="P91" s="136"/>
      <c r="Q91" s="140"/>
      <c r="R91" s="136"/>
      <c r="S91" s="136"/>
      <c r="T91" s="136"/>
      <c r="U91" s="136">
        <f t="shared" si="23"/>
        <v>3.5535759999999996</v>
      </c>
    </row>
    <row r="92" spans="1:21" ht="15" hidden="1" outlineLevel="2">
      <c r="A92" s="6" t="str">
        <f>A91</f>
        <v>M227</v>
      </c>
      <c r="B92" s="11" t="str">
        <f>B91</f>
        <v>DCJ</v>
      </c>
      <c r="C92" s="11" t="str">
        <f>C91</f>
        <v>ACJ N/NE/WEST</v>
      </c>
      <c r="D92" s="13" t="str">
        <f>D91</f>
        <v>504600</v>
      </c>
      <c r="E92" s="24" t="str">
        <f>E91</f>
        <v>50-10</v>
      </c>
      <c r="F92" s="39" t="s">
        <v>585</v>
      </c>
      <c r="G92" s="24" t="s">
        <v>585</v>
      </c>
      <c r="H92" s="136"/>
      <c r="I92" s="149"/>
      <c r="J92" s="136"/>
      <c r="K92" s="136"/>
      <c r="L92" s="139">
        <v>4</v>
      </c>
      <c r="M92" s="139">
        <v>0.083</v>
      </c>
      <c r="N92" s="136">
        <f>L92*M92*$N$2</f>
        <v>1040.8200000000002</v>
      </c>
      <c r="O92" s="11"/>
      <c r="P92" s="136"/>
      <c r="Q92" s="140"/>
      <c r="R92" s="136"/>
      <c r="S92" s="136"/>
      <c r="T92" s="136"/>
      <c r="U92" s="136">
        <f t="shared" si="23"/>
        <v>1040.8200000000002</v>
      </c>
    </row>
    <row r="93" spans="1:21" ht="15" hidden="1" outlineLevel="2">
      <c r="A93" s="28" t="s">
        <v>223</v>
      </c>
      <c r="B93" s="11" t="str">
        <f>B92</f>
        <v>DCJ</v>
      </c>
      <c r="C93" s="11" t="str">
        <f>C92</f>
        <v>ACJ N/NE/WEST</v>
      </c>
      <c r="D93" s="13" t="str">
        <f>D92</f>
        <v>504600</v>
      </c>
      <c r="E93" s="38" t="str">
        <f>E92</f>
        <v>50-10</v>
      </c>
      <c r="F93" s="20" t="s">
        <v>615</v>
      </c>
      <c r="G93" s="11" t="s">
        <v>615</v>
      </c>
      <c r="H93" s="136"/>
      <c r="I93" s="140"/>
      <c r="J93" s="136"/>
      <c r="K93" s="136"/>
      <c r="L93" s="139"/>
      <c r="M93" s="139"/>
      <c r="N93" s="136"/>
      <c r="O93" s="29">
        <f>0.25+1</f>
        <v>1.25</v>
      </c>
      <c r="P93" s="136">
        <f>O93*$P$2</f>
        <v>90</v>
      </c>
      <c r="Q93" s="140"/>
      <c r="R93" s="136"/>
      <c r="S93" s="136"/>
      <c r="T93" s="136"/>
      <c r="U93" s="136">
        <f t="shared" si="23"/>
        <v>90</v>
      </c>
    </row>
    <row r="94" spans="1:21" ht="15" hidden="1" outlineLevel="2">
      <c r="A94" s="28" t="s">
        <v>223</v>
      </c>
      <c r="B94" s="11" t="str">
        <f>B92</f>
        <v>DCJ</v>
      </c>
      <c r="C94" s="11" t="str">
        <f>C92</f>
        <v>ACJ N/NE/WEST</v>
      </c>
      <c r="D94" s="13" t="str">
        <f>D92</f>
        <v>504600</v>
      </c>
      <c r="E94" s="38" t="str">
        <f>E92</f>
        <v>50-10</v>
      </c>
      <c r="F94" s="20" t="s">
        <v>53</v>
      </c>
      <c r="G94" s="11" t="s">
        <v>684</v>
      </c>
      <c r="H94" s="136"/>
      <c r="I94" s="140"/>
      <c r="J94" s="136"/>
      <c r="K94" s="136"/>
      <c r="L94" s="139"/>
      <c r="M94" s="139"/>
      <c r="N94" s="136"/>
      <c r="O94" s="29"/>
      <c r="P94" s="136"/>
      <c r="Q94" s="140"/>
      <c r="R94" s="136">
        <v>25.6</v>
      </c>
      <c r="S94" s="136"/>
      <c r="T94" s="136"/>
      <c r="U94" s="136">
        <f t="shared" si="23"/>
        <v>25.6</v>
      </c>
    </row>
    <row r="95" spans="1:21" s="5" customFormat="1" ht="15.75" outlineLevel="1" collapsed="1">
      <c r="A95" s="64" t="s">
        <v>812</v>
      </c>
      <c r="B95" s="45"/>
      <c r="C95" s="45"/>
      <c r="D95" s="61"/>
      <c r="E95" s="52"/>
      <c r="F95" s="51"/>
      <c r="G95" s="45"/>
      <c r="H95" s="137">
        <f aca="true" t="shared" si="24" ref="H95:U95">SUBTOTAL(9,H87:H94)</f>
        <v>375.62424899999996</v>
      </c>
      <c r="I95" s="167">
        <f t="shared" si="24"/>
        <v>890</v>
      </c>
      <c r="J95" s="137">
        <f t="shared" si="24"/>
        <v>73.64</v>
      </c>
      <c r="K95" s="137">
        <f t="shared" si="24"/>
        <v>180</v>
      </c>
      <c r="L95" s="141">
        <f t="shared" si="24"/>
        <v>4</v>
      </c>
      <c r="M95" s="141">
        <f t="shared" si="24"/>
        <v>0.083</v>
      </c>
      <c r="N95" s="137">
        <f t="shared" si="24"/>
        <v>1040.8200000000002</v>
      </c>
      <c r="O95" s="65">
        <f t="shared" si="24"/>
        <v>1.25</v>
      </c>
      <c r="P95" s="137">
        <f t="shared" si="24"/>
        <v>90</v>
      </c>
      <c r="Q95" s="167">
        <f t="shared" si="24"/>
        <v>0</v>
      </c>
      <c r="R95" s="137">
        <f t="shared" si="24"/>
        <v>25.6</v>
      </c>
      <c r="S95" s="137">
        <f t="shared" si="24"/>
        <v>0</v>
      </c>
      <c r="T95" s="137">
        <f t="shared" si="24"/>
        <v>0</v>
      </c>
      <c r="U95" s="137">
        <f t="shared" si="24"/>
        <v>1785.6842490000001</v>
      </c>
    </row>
    <row r="96" spans="1:21" ht="15" hidden="1" outlineLevel="2">
      <c r="A96" s="6" t="s">
        <v>226</v>
      </c>
      <c r="B96" s="7" t="s">
        <v>147</v>
      </c>
      <c r="C96" s="7" t="s">
        <v>210</v>
      </c>
      <c r="D96" s="8" t="s">
        <v>227</v>
      </c>
      <c r="E96" s="42" t="s">
        <v>202</v>
      </c>
      <c r="F96" s="39" t="s">
        <v>53</v>
      </c>
      <c r="G96" s="24" t="s">
        <v>62</v>
      </c>
      <c r="H96" s="136">
        <v>352.5938472000001</v>
      </c>
      <c r="I96" s="149">
        <v>1071</v>
      </c>
      <c r="J96" s="136">
        <f>I96*$J$1</f>
        <v>107.10000000000001</v>
      </c>
      <c r="K96" s="136">
        <v>45</v>
      </c>
      <c r="L96" s="139"/>
      <c r="M96" s="139"/>
      <c r="N96" s="136"/>
      <c r="O96" s="11"/>
      <c r="P96" s="136"/>
      <c r="Q96" s="140"/>
      <c r="R96" s="136"/>
      <c r="S96" s="136"/>
      <c r="T96" s="136"/>
      <c r="U96" s="136">
        <f aca="true" t="shared" si="25" ref="U96:U102">H96+J96+K96+N96+P96+R96+S96+T96</f>
        <v>504.6938472000001</v>
      </c>
    </row>
    <row r="97" spans="1:21" ht="15" hidden="1" outlineLevel="2">
      <c r="A97" s="6" t="s">
        <v>226</v>
      </c>
      <c r="B97" s="7" t="s">
        <v>147</v>
      </c>
      <c r="C97" s="7" t="s">
        <v>210</v>
      </c>
      <c r="D97" s="8" t="s">
        <v>227</v>
      </c>
      <c r="E97" s="42" t="s">
        <v>202</v>
      </c>
      <c r="F97" s="39" t="s">
        <v>53</v>
      </c>
      <c r="G97" s="24" t="s">
        <v>63</v>
      </c>
      <c r="H97" s="136">
        <v>20.049232</v>
      </c>
      <c r="I97" s="149">
        <v>7</v>
      </c>
      <c r="J97" s="136">
        <f>I97*$J$2</f>
        <v>0.42</v>
      </c>
      <c r="K97" s="136">
        <v>0</v>
      </c>
      <c r="L97" s="139"/>
      <c r="M97" s="139"/>
      <c r="N97" s="136"/>
      <c r="O97" s="11"/>
      <c r="P97" s="136"/>
      <c r="Q97" s="140"/>
      <c r="R97" s="136"/>
      <c r="S97" s="136"/>
      <c r="T97" s="136"/>
      <c r="U97" s="136">
        <f t="shared" si="25"/>
        <v>20.469232</v>
      </c>
    </row>
    <row r="98" spans="1:21" ht="15" hidden="1" outlineLevel="2">
      <c r="A98" s="6" t="s">
        <v>226</v>
      </c>
      <c r="B98" s="7" t="s">
        <v>147</v>
      </c>
      <c r="C98" s="7" t="s">
        <v>210</v>
      </c>
      <c r="D98" s="8" t="s">
        <v>227</v>
      </c>
      <c r="E98" s="42" t="s">
        <v>202</v>
      </c>
      <c r="F98" s="39" t="s">
        <v>53</v>
      </c>
      <c r="G98" s="24" t="s">
        <v>64</v>
      </c>
      <c r="H98" s="136">
        <v>6.0808314</v>
      </c>
      <c r="I98" s="149">
        <v>5</v>
      </c>
      <c r="J98" s="136">
        <f>I98*$J$2</f>
        <v>0.3</v>
      </c>
      <c r="K98" s="136">
        <v>15</v>
      </c>
      <c r="L98" s="139"/>
      <c r="M98" s="139"/>
      <c r="N98" s="136"/>
      <c r="O98" s="11"/>
      <c r="P98" s="136"/>
      <c r="Q98" s="140"/>
      <c r="R98" s="136"/>
      <c r="S98" s="136"/>
      <c r="T98" s="136"/>
      <c r="U98" s="136">
        <f t="shared" si="25"/>
        <v>21.380831399999998</v>
      </c>
    </row>
    <row r="99" spans="1:21" ht="15" hidden="1" outlineLevel="2">
      <c r="A99" s="6" t="s">
        <v>226</v>
      </c>
      <c r="B99" s="7" t="s">
        <v>147</v>
      </c>
      <c r="C99" s="7" t="s">
        <v>210</v>
      </c>
      <c r="D99" s="8" t="s">
        <v>227</v>
      </c>
      <c r="E99" s="42" t="s">
        <v>202</v>
      </c>
      <c r="F99" s="39" t="s">
        <v>53</v>
      </c>
      <c r="G99" s="24" t="s">
        <v>65</v>
      </c>
      <c r="H99" s="136">
        <v>16.746142</v>
      </c>
      <c r="I99" s="149">
        <v>37</v>
      </c>
      <c r="J99" s="136">
        <f>I99*$J$2</f>
        <v>2.2199999999999998</v>
      </c>
      <c r="K99" s="136">
        <v>120</v>
      </c>
      <c r="L99" s="139"/>
      <c r="M99" s="139"/>
      <c r="N99" s="136"/>
      <c r="O99" s="11"/>
      <c r="P99" s="136"/>
      <c r="Q99" s="140"/>
      <c r="R99" s="136"/>
      <c r="S99" s="136"/>
      <c r="T99" s="136"/>
      <c r="U99" s="136">
        <f t="shared" si="25"/>
        <v>138.966142</v>
      </c>
    </row>
    <row r="100" spans="1:21" ht="15" hidden="1" outlineLevel="2">
      <c r="A100" s="6" t="s">
        <v>226</v>
      </c>
      <c r="B100" s="7" t="s">
        <v>147</v>
      </c>
      <c r="C100" s="7" t="s">
        <v>210</v>
      </c>
      <c r="D100" s="8" t="s">
        <v>227</v>
      </c>
      <c r="E100" s="42" t="s">
        <v>202</v>
      </c>
      <c r="F100" s="39" t="s">
        <v>53</v>
      </c>
      <c r="G100" s="11" t="s">
        <v>66</v>
      </c>
      <c r="H100" s="136">
        <v>1.0894954</v>
      </c>
      <c r="I100" s="140">
        <v>1</v>
      </c>
      <c r="J100" s="136">
        <f>I100*$J$2</f>
        <v>0.06</v>
      </c>
      <c r="K100" s="136">
        <v>0</v>
      </c>
      <c r="L100" s="139"/>
      <c r="M100" s="139"/>
      <c r="N100" s="136"/>
      <c r="O100" s="11"/>
      <c r="P100" s="136"/>
      <c r="Q100" s="140"/>
      <c r="R100" s="136"/>
      <c r="S100" s="136"/>
      <c r="T100" s="136"/>
      <c r="U100" s="136">
        <f t="shared" si="25"/>
        <v>1.1494954</v>
      </c>
    </row>
    <row r="101" spans="1:21" ht="15" hidden="1" outlineLevel="2">
      <c r="A101" s="6" t="str">
        <f>A100</f>
        <v>M228</v>
      </c>
      <c r="B101" s="11" t="str">
        <f>B100</f>
        <v>DCJ</v>
      </c>
      <c r="C101" s="11" t="str">
        <f>C100</f>
        <v>ACJ</v>
      </c>
      <c r="D101" s="13" t="str">
        <f>D100</f>
        <v>505911</v>
      </c>
      <c r="E101" s="24" t="str">
        <f>E100</f>
        <v>50-10</v>
      </c>
      <c r="F101" s="39" t="s">
        <v>585</v>
      </c>
      <c r="G101" s="24" t="s">
        <v>585</v>
      </c>
      <c r="H101" s="136"/>
      <c r="I101" s="140"/>
      <c r="J101" s="136"/>
      <c r="K101" s="136"/>
      <c r="L101" s="139">
        <v>4</v>
      </c>
      <c r="M101" s="139">
        <v>0.083</v>
      </c>
      <c r="N101" s="136">
        <f>L101*M101*$N$2</f>
        <v>1040.8200000000002</v>
      </c>
      <c r="O101" s="11"/>
      <c r="P101" s="136"/>
      <c r="Q101" s="140"/>
      <c r="R101" s="136"/>
      <c r="S101" s="136"/>
      <c r="T101" s="136"/>
      <c r="U101" s="136">
        <f t="shared" si="25"/>
        <v>1040.8200000000002</v>
      </c>
    </row>
    <row r="102" spans="1:21" ht="15" hidden="1" outlineLevel="2">
      <c r="A102" s="6" t="str">
        <f>A100</f>
        <v>M228</v>
      </c>
      <c r="B102" s="11" t="str">
        <f>B100</f>
        <v>DCJ</v>
      </c>
      <c r="C102" s="11" t="str">
        <f>C100</f>
        <v>ACJ</v>
      </c>
      <c r="D102" s="13">
        <v>502700</v>
      </c>
      <c r="E102" s="18" t="s">
        <v>202</v>
      </c>
      <c r="F102" s="39" t="s">
        <v>585</v>
      </c>
      <c r="G102" s="24" t="s">
        <v>585</v>
      </c>
      <c r="H102" s="136"/>
      <c r="I102" s="149"/>
      <c r="J102" s="136"/>
      <c r="K102" s="136"/>
      <c r="L102" s="139">
        <v>1</v>
      </c>
      <c r="M102" s="139">
        <v>0.5</v>
      </c>
      <c r="N102" s="136">
        <f>L102*M102*$N$2</f>
        <v>1567.5</v>
      </c>
      <c r="O102" s="11"/>
      <c r="P102" s="136"/>
      <c r="Q102" s="140"/>
      <c r="R102" s="136"/>
      <c r="S102" s="136"/>
      <c r="T102" s="136"/>
      <c r="U102" s="136">
        <f t="shared" si="25"/>
        <v>1567.5</v>
      </c>
    </row>
    <row r="103" spans="1:21" s="5" customFormat="1" ht="15.75" outlineLevel="1" collapsed="1">
      <c r="A103" s="64" t="s">
        <v>813</v>
      </c>
      <c r="B103" s="45"/>
      <c r="C103" s="45"/>
      <c r="D103" s="61"/>
      <c r="E103" s="52"/>
      <c r="F103" s="51"/>
      <c r="G103" s="45"/>
      <c r="H103" s="137">
        <f aca="true" t="shared" si="26" ref="H103:U103">SUBTOTAL(9,H96:H102)</f>
        <v>396.5595480000001</v>
      </c>
      <c r="I103" s="167">
        <f t="shared" si="26"/>
        <v>1121</v>
      </c>
      <c r="J103" s="137">
        <f t="shared" si="26"/>
        <v>110.10000000000001</v>
      </c>
      <c r="K103" s="137">
        <f t="shared" si="26"/>
        <v>180</v>
      </c>
      <c r="L103" s="141">
        <f t="shared" si="26"/>
        <v>5</v>
      </c>
      <c r="M103" s="141">
        <f t="shared" si="26"/>
        <v>0.583</v>
      </c>
      <c r="N103" s="137">
        <f t="shared" si="26"/>
        <v>2608.32</v>
      </c>
      <c r="O103" s="65">
        <f t="shared" si="26"/>
        <v>0</v>
      </c>
      <c r="P103" s="137">
        <f t="shared" si="26"/>
        <v>0</v>
      </c>
      <c r="Q103" s="167">
        <f t="shared" si="26"/>
        <v>0</v>
      </c>
      <c r="R103" s="137">
        <f t="shared" si="26"/>
        <v>0</v>
      </c>
      <c r="S103" s="137">
        <f t="shared" si="26"/>
        <v>0</v>
      </c>
      <c r="T103" s="137">
        <f t="shared" si="26"/>
        <v>0</v>
      </c>
      <c r="U103" s="137">
        <f t="shared" si="26"/>
        <v>3294.9795480000002</v>
      </c>
    </row>
    <row r="104" spans="1:21" ht="15" hidden="1" outlineLevel="2">
      <c r="A104" s="6" t="s">
        <v>234</v>
      </c>
      <c r="B104" s="7" t="s">
        <v>147</v>
      </c>
      <c r="C104" s="7" t="s">
        <v>235</v>
      </c>
      <c r="D104" s="14" t="s">
        <v>236</v>
      </c>
      <c r="E104" s="42" t="s">
        <v>202</v>
      </c>
      <c r="F104" s="39" t="s">
        <v>53</v>
      </c>
      <c r="G104" s="24" t="s">
        <v>62</v>
      </c>
      <c r="H104" s="136">
        <v>256.21911840000007</v>
      </c>
      <c r="I104" s="149">
        <v>783</v>
      </c>
      <c r="J104" s="136">
        <f>I104*$J$1</f>
        <v>78.30000000000001</v>
      </c>
      <c r="K104" s="136">
        <v>15</v>
      </c>
      <c r="L104" s="139"/>
      <c r="M104" s="139"/>
      <c r="N104" s="136"/>
      <c r="O104" s="11"/>
      <c r="P104" s="136"/>
      <c r="Q104" s="140"/>
      <c r="R104" s="136"/>
      <c r="S104" s="136"/>
      <c r="T104" s="136"/>
      <c r="U104" s="136">
        <f aca="true" t="shared" si="27" ref="U104:U112">H104+J104+K104+N104+P104+R104+S104+T104</f>
        <v>349.5191184000001</v>
      </c>
    </row>
    <row r="105" spans="1:21" ht="15" hidden="1" outlineLevel="2">
      <c r="A105" s="6" t="s">
        <v>234</v>
      </c>
      <c r="B105" s="7" t="s">
        <v>147</v>
      </c>
      <c r="C105" s="7" t="s">
        <v>235</v>
      </c>
      <c r="D105" s="14" t="s">
        <v>236</v>
      </c>
      <c r="E105" s="42" t="s">
        <v>202</v>
      </c>
      <c r="F105" s="39" t="s">
        <v>53</v>
      </c>
      <c r="G105" s="11" t="s">
        <v>63</v>
      </c>
      <c r="H105" s="136">
        <v>3.271632</v>
      </c>
      <c r="I105" s="140">
        <v>10</v>
      </c>
      <c r="J105" s="136">
        <f>I105*$J$2</f>
        <v>0.6</v>
      </c>
      <c r="K105" s="136">
        <v>0</v>
      </c>
      <c r="L105" s="139"/>
      <c r="M105" s="139"/>
      <c r="N105" s="136"/>
      <c r="O105" s="11"/>
      <c r="P105" s="136"/>
      <c r="Q105" s="140"/>
      <c r="R105" s="136"/>
      <c r="S105" s="136"/>
      <c r="T105" s="136"/>
      <c r="U105" s="136">
        <f t="shared" si="27"/>
        <v>3.871632</v>
      </c>
    </row>
    <row r="106" spans="1:21" ht="15" hidden="1" outlineLevel="2">
      <c r="A106" s="6" t="s">
        <v>234</v>
      </c>
      <c r="B106" s="7" t="s">
        <v>147</v>
      </c>
      <c r="C106" s="7" t="s">
        <v>235</v>
      </c>
      <c r="D106" s="14" t="s">
        <v>236</v>
      </c>
      <c r="E106" s="42" t="s">
        <v>202</v>
      </c>
      <c r="F106" s="39" t="s">
        <v>53</v>
      </c>
      <c r="G106" s="24" t="s">
        <v>64</v>
      </c>
      <c r="H106" s="136">
        <v>2.275462</v>
      </c>
      <c r="I106" s="149">
        <v>2</v>
      </c>
      <c r="J106" s="136">
        <f>I106*$J$2</f>
        <v>0.12</v>
      </c>
      <c r="K106" s="136">
        <v>0</v>
      </c>
      <c r="L106" s="139"/>
      <c r="M106" s="139"/>
      <c r="N106" s="136"/>
      <c r="O106" s="11"/>
      <c r="P106" s="136"/>
      <c r="Q106" s="140"/>
      <c r="R106" s="136"/>
      <c r="S106" s="136"/>
      <c r="T106" s="136"/>
      <c r="U106" s="136">
        <f t="shared" si="27"/>
        <v>2.395462</v>
      </c>
    </row>
    <row r="107" spans="1:21" ht="15" hidden="1" outlineLevel="2">
      <c r="A107" s="6" t="s">
        <v>234</v>
      </c>
      <c r="B107" s="7" t="s">
        <v>147</v>
      </c>
      <c r="C107" s="7" t="s">
        <v>235</v>
      </c>
      <c r="D107" s="14" t="s">
        <v>236</v>
      </c>
      <c r="E107" s="42" t="s">
        <v>202</v>
      </c>
      <c r="F107" s="39" t="s">
        <v>53</v>
      </c>
      <c r="G107" s="24" t="s">
        <v>65</v>
      </c>
      <c r="H107" s="136">
        <v>767.218676</v>
      </c>
      <c r="I107" s="149">
        <v>1776</v>
      </c>
      <c r="J107" s="136">
        <f>I107*$J$2</f>
        <v>106.56</v>
      </c>
      <c r="K107" s="136">
        <v>165</v>
      </c>
      <c r="L107" s="139"/>
      <c r="M107" s="139"/>
      <c r="N107" s="136"/>
      <c r="O107" s="11"/>
      <c r="P107" s="136"/>
      <c r="Q107" s="140"/>
      <c r="R107" s="136"/>
      <c r="S107" s="136"/>
      <c r="T107" s="136"/>
      <c r="U107" s="136">
        <f t="shared" si="27"/>
        <v>1038.778676</v>
      </c>
    </row>
    <row r="108" spans="1:21" ht="15" hidden="1" outlineLevel="2">
      <c r="A108" s="6" t="s">
        <v>234</v>
      </c>
      <c r="B108" s="7" t="s">
        <v>147</v>
      </c>
      <c r="C108" s="7" t="s">
        <v>235</v>
      </c>
      <c r="D108" s="14" t="s">
        <v>236</v>
      </c>
      <c r="E108" s="42" t="s">
        <v>202</v>
      </c>
      <c r="F108" s="39" t="s">
        <v>53</v>
      </c>
      <c r="G108" s="24" t="s">
        <v>90</v>
      </c>
      <c r="H108" s="136">
        <v>0.283122</v>
      </c>
      <c r="I108" s="149">
        <v>1</v>
      </c>
      <c r="J108" s="136">
        <f>I108*$J$2</f>
        <v>0.06</v>
      </c>
      <c r="K108" s="136">
        <v>0</v>
      </c>
      <c r="L108" s="139"/>
      <c r="M108" s="139"/>
      <c r="N108" s="136"/>
      <c r="O108" s="11"/>
      <c r="P108" s="136"/>
      <c r="Q108" s="140"/>
      <c r="R108" s="136"/>
      <c r="S108" s="136"/>
      <c r="T108" s="136"/>
      <c r="U108" s="136">
        <f t="shared" si="27"/>
        <v>0.343122</v>
      </c>
    </row>
    <row r="109" spans="1:21" ht="15" hidden="1" outlineLevel="2">
      <c r="A109" s="6" t="str">
        <f>A108</f>
        <v>M235</v>
      </c>
      <c r="B109" s="11" t="str">
        <f>B108</f>
        <v>DCJ</v>
      </c>
      <c r="C109" s="11" t="str">
        <f>C108</f>
        <v>ACJ SANCTIONS &amp; SERVICES</v>
      </c>
      <c r="D109" s="13" t="str">
        <f>D108</f>
        <v>CJ045.DOC.SUP.COMMSVC </v>
      </c>
      <c r="E109" s="24" t="str">
        <f>E108</f>
        <v>50-10</v>
      </c>
      <c r="F109" s="39" t="s">
        <v>585</v>
      </c>
      <c r="G109" s="24" t="s">
        <v>585</v>
      </c>
      <c r="H109" s="136"/>
      <c r="I109" s="149"/>
      <c r="J109" s="136"/>
      <c r="K109" s="136"/>
      <c r="L109" s="139">
        <v>4</v>
      </c>
      <c r="M109" s="139">
        <v>0.083</v>
      </c>
      <c r="N109" s="136">
        <f>L109*M109*$N$2</f>
        <v>1040.8200000000002</v>
      </c>
      <c r="O109" s="11"/>
      <c r="P109" s="136"/>
      <c r="Q109" s="140"/>
      <c r="R109" s="136"/>
      <c r="S109" s="136"/>
      <c r="T109" s="136"/>
      <c r="U109" s="136">
        <f t="shared" si="27"/>
        <v>1040.8200000000002</v>
      </c>
    </row>
    <row r="110" spans="1:21" ht="15" hidden="1" outlineLevel="2">
      <c r="A110" s="28" t="s">
        <v>234</v>
      </c>
      <c r="B110" s="11" t="str">
        <f>B109</f>
        <v>DCJ</v>
      </c>
      <c r="C110" s="11" t="str">
        <f>C109</f>
        <v>ACJ SANCTIONS &amp; SERVICES</v>
      </c>
      <c r="D110" s="13" t="str">
        <f>D109</f>
        <v>CJ045.DOC.SUP.COMMSVC </v>
      </c>
      <c r="E110" s="38" t="str">
        <f>E109</f>
        <v>50-10</v>
      </c>
      <c r="F110" s="20" t="s">
        <v>615</v>
      </c>
      <c r="G110" s="11" t="s">
        <v>615</v>
      </c>
      <c r="H110" s="136"/>
      <c r="I110" s="140"/>
      <c r="J110" s="136"/>
      <c r="K110" s="136"/>
      <c r="L110" s="139"/>
      <c r="M110" s="139"/>
      <c r="N110" s="136"/>
      <c r="O110" s="29">
        <f>1.25+0.5</f>
        <v>1.75</v>
      </c>
      <c r="P110" s="136">
        <f>O110*$P$2</f>
        <v>126</v>
      </c>
      <c r="Q110" s="140"/>
      <c r="R110" s="136"/>
      <c r="S110" s="136"/>
      <c r="T110" s="136"/>
      <c r="U110" s="136">
        <f t="shared" si="27"/>
        <v>126</v>
      </c>
    </row>
    <row r="111" spans="1:21" ht="15" hidden="1" outlineLevel="2">
      <c r="A111" s="28" t="s">
        <v>234</v>
      </c>
      <c r="B111" s="11" t="str">
        <f>B109</f>
        <v>DCJ</v>
      </c>
      <c r="C111" s="11" t="str">
        <f>C109</f>
        <v>ACJ SANCTIONS &amp; SERVICES</v>
      </c>
      <c r="D111" s="13" t="str">
        <f>D109</f>
        <v>CJ045.DOC.SUP.COMMSVC </v>
      </c>
      <c r="E111" s="38" t="str">
        <f>E109</f>
        <v>50-10</v>
      </c>
      <c r="F111" s="20" t="s">
        <v>53</v>
      </c>
      <c r="G111" s="11" t="s">
        <v>684</v>
      </c>
      <c r="H111" s="136"/>
      <c r="I111" s="140"/>
      <c r="J111" s="136"/>
      <c r="K111" s="136"/>
      <c r="L111" s="139"/>
      <c r="M111" s="139"/>
      <c r="N111" s="136"/>
      <c r="O111" s="29"/>
      <c r="P111" s="136"/>
      <c r="Q111" s="140"/>
      <c r="R111" s="136">
        <v>25.6</v>
      </c>
      <c r="S111" s="136"/>
      <c r="T111" s="136"/>
      <c r="U111" s="136">
        <f t="shared" si="27"/>
        <v>25.6</v>
      </c>
    </row>
    <row r="112" spans="1:21" ht="15" hidden="1" outlineLevel="2">
      <c r="A112" s="6" t="str">
        <f>A111</f>
        <v>M235</v>
      </c>
      <c r="B112" s="11" t="str">
        <f>B111</f>
        <v>DCJ</v>
      </c>
      <c r="C112" s="11" t="str">
        <f>C111</f>
        <v>ACJ SANCTIONS &amp; SERVICES</v>
      </c>
      <c r="D112" s="13">
        <v>507750</v>
      </c>
      <c r="E112" s="18" t="s">
        <v>257</v>
      </c>
      <c r="F112" s="39" t="s">
        <v>585</v>
      </c>
      <c r="G112" s="24" t="s">
        <v>585</v>
      </c>
      <c r="H112" s="136"/>
      <c r="I112" s="149"/>
      <c r="J112" s="136"/>
      <c r="K112" s="136"/>
      <c r="L112" s="139">
        <v>1</v>
      </c>
      <c r="M112" s="139">
        <v>0.5</v>
      </c>
      <c r="N112" s="136">
        <f>L112*M112*$N$2</f>
        <v>1567.5</v>
      </c>
      <c r="O112" s="11"/>
      <c r="P112" s="136"/>
      <c r="Q112" s="140"/>
      <c r="R112" s="136"/>
      <c r="S112" s="136"/>
      <c r="T112" s="136"/>
      <c r="U112" s="136">
        <f t="shared" si="27"/>
        <v>1567.5</v>
      </c>
    </row>
    <row r="113" spans="1:21" s="5" customFormat="1" ht="15.75" outlineLevel="1" collapsed="1">
      <c r="A113" s="64" t="s">
        <v>814</v>
      </c>
      <c r="B113" s="45"/>
      <c r="C113" s="45"/>
      <c r="D113" s="61"/>
      <c r="E113" s="52"/>
      <c r="F113" s="51"/>
      <c r="G113" s="45"/>
      <c r="H113" s="137">
        <f aca="true" t="shared" si="28" ref="H113:U113">SUBTOTAL(9,H104:H112)</f>
        <v>1029.2680104</v>
      </c>
      <c r="I113" s="167">
        <f t="shared" si="28"/>
        <v>2572</v>
      </c>
      <c r="J113" s="137">
        <f t="shared" si="28"/>
        <v>185.64000000000001</v>
      </c>
      <c r="K113" s="137">
        <f t="shared" si="28"/>
        <v>180</v>
      </c>
      <c r="L113" s="141">
        <f t="shared" si="28"/>
        <v>5</v>
      </c>
      <c r="M113" s="141">
        <f t="shared" si="28"/>
        <v>0.583</v>
      </c>
      <c r="N113" s="137">
        <f t="shared" si="28"/>
        <v>2608.32</v>
      </c>
      <c r="O113" s="65">
        <f t="shared" si="28"/>
        <v>1.75</v>
      </c>
      <c r="P113" s="137">
        <f t="shared" si="28"/>
        <v>126</v>
      </c>
      <c r="Q113" s="167">
        <f t="shared" si="28"/>
        <v>0</v>
      </c>
      <c r="R113" s="137">
        <f t="shared" si="28"/>
        <v>25.6</v>
      </c>
      <c r="S113" s="137">
        <f t="shared" si="28"/>
        <v>0</v>
      </c>
      <c r="T113" s="137">
        <f t="shared" si="28"/>
        <v>0</v>
      </c>
      <c r="U113" s="137">
        <f t="shared" si="28"/>
        <v>4154.8280104000005</v>
      </c>
    </row>
    <row r="114" spans="1:21" ht="15" hidden="1" outlineLevel="2">
      <c r="A114" s="28" t="s">
        <v>254</v>
      </c>
      <c r="B114" s="11" t="str">
        <f>B112</f>
        <v>DCJ</v>
      </c>
      <c r="C114" s="11" t="str">
        <f>C112</f>
        <v>ACJ SANCTIONS &amp; SERVICES</v>
      </c>
      <c r="D114" s="13">
        <f>D112</f>
        <v>507750</v>
      </c>
      <c r="E114" s="38" t="str">
        <f>E112</f>
        <v>50-50</v>
      </c>
      <c r="F114" s="20" t="s">
        <v>615</v>
      </c>
      <c r="G114" s="11" t="s">
        <v>615</v>
      </c>
      <c r="H114" s="136"/>
      <c r="I114" s="140"/>
      <c r="J114" s="136"/>
      <c r="K114" s="136"/>
      <c r="L114" s="139"/>
      <c r="M114" s="139"/>
      <c r="N114" s="136"/>
      <c r="O114" s="29">
        <v>11</v>
      </c>
      <c r="P114" s="136">
        <f>O114*$P$2</f>
        <v>792</v>
      </c>
      <c r="Q114" s="140"/>
      <c r="R114" s="136"/>
      <c r="S114" s="136"/>
      <c r="T114" s="136"/>
      <c r="U114" s="136">
        <f aca="true" t="shared" si="29" ref="U114:U124">H114+J114+K114+N114+P114+R114+S114+T114</f>
        <v>792</v>
      </c>
    </row>
    <row r="115" spans="1:21" ht="15" hidden="1" outlineLevel="2">
      <c r="A115" s="6" t="s">
        <v>254</v>
      </c>
      <c r="B115" s="7" t="s">
        <v>147</v>
      </c>
      <c r="C115" s="7" t="s">
        <v>255</v>
      </c>
      <c r="D115" s="8" t="s">
        <v>256</v>
      </c>
      <c r="E115" s="42" t="s">
        <v>257</v>
      </c>
      <c r="F115" s="39" t="s">
        <v>53</v>
      </c>
      <c r="G115" s="24" t="s">
        <v>62</v>
      </c>
      <c r="H115" s="136">
        <v>1478.041546800001</v>
      </c>
      <c r="I115" s="149">
        <v>4231</v>
      </c>
      <c r="J115" s="136">
        <f>I115*$J$1</f>
        <v>423.1</v>
      </c>
      <c r="K115" s="136">
        <v>15</v>
      </c>
      <c r="L115" s="139"/>
      <c r="M115" s="139"/>
      <c r="N115" s="136"/>
      <c r="O115" s="11"/>
      <c r="P115" s="136"/>
      <c r="Q115" s="140"/>
      <c r="R115" s="136"/>
      <c r="S115" s="136"/>
      <c r="T115" s="136"/>
      <c r="U115" s="136">
        <f t="shared" si="29"/>
        <v>1916.141546800001</v>
      </c>
    </row>
    <row r="116" spans="1:21" ht="15" hidden="1" outlineLevel="2">
      <c r="A116" s="6" t="s">
        <v>254</v>
      </c>
      <c r="B116" s="7" t="s">
        <v>147</v>
      </c>
      <c r="C116" s="7" t="s">
        <v>255</v>
      </c>
      <c r="D116" s="8" t="s">
        <v>256</v>
      </c>
      <c r="E116" s="42" t="s">
        <v>257</v>
      </c>
      <c r="F116" s="39" t="s">
        <v>53</v>
      </c>
      <c r="G116" s="24" t="s">
        <v>63</v>
      </c>
      <c r="H116" s="136">
        <v>709.126236</v>
      </c>
      <c r="I116" s="149">
        <v>305</v>
      </c>
      <c r="J116" s="136">
        <f aca="true" t="shared" si="30" ref="J116:J121">I116*$J$2</f>
        <v>18.3</v>
      </c>
      <c r="K116" s="136">
        <v>0</v>
      </c>
      <c r="L116" s="139"/>
      <c r="M116" s="139"/>
      <c r="N116" s="136"/>
      <c r="O116" s="11"/>
      <c r="P116" s="136"/>
      <c r="Q116" s="140"/>
      <c r="R116" s="136"/>
      <c r="S116" s="136"/>
      <c r="T116" s="136"/>
      <c r="U116" s="136">
        <f t="shared" si="29"/>
        <v>727.4262359999999</v>
      </c>
    </row>
    <row r="117" spans="1:21" ht="15" hidden="1" outlineLevel="2">
      <c r="A117" s="6" t="s">
        <v>254</v>
      </c>
      <c r="B117" s="7" t="s">
        <v>147</v>
      </c>
      <c r="C117" s="7" t="s">
        <v>255</v>
      </c>
      <c r="D117" s="8" t="s">
        <v>256</v>
      </c>
      <c r="E117" s="42" t="s">
        <v>257</v>
      </c>
      <c r="F117" s="39" t="s">
        <v>53</v>
      </c>
      <c r="G117" s="24" t="s">
        <v>64</v>
      </c>
      <c r="H117" s="136">
        <v>770.700028</v>
      </c>
      <c r="I117" s="149">
        <v>671</v>
      </c>
      <c r="J117" s="136">
        <f t="shared" si="30"/>
        <v>40.26</v>
      </c>
      <c r="K117" s="136">
        <v>0</v>
      </c>
      <c r="L117" s="139"/>
      <c r="M117" s="139"/>
      <c r="N117" s="136"/>
      <c r="O117" s="11"/>
      <c r="P117" s="136"/>
      <c r="Q117" s="140"/>
      <c r="R117" s="136"/>
      <c r="S117" s="136"/>
      <c r="T117" s="136"/>
      <c r="U117" s="136">
        <f t="shared" si="29"/>
        <v>810.960028</v>
      </c>
    </row>
    <row r="118" spans="1:21" ht="15" hidden="1" outlineLevel="2">
      <c r="A118" s="6" t="s">
        <v>254</v>
      </c>
      <c r="B118" s="7" t="s">
        <v>147</v>
      </c>
      <c r="C118" s="7" t="s">
        <v>255</v>
      </c>
      <c r="D118" s="8" t="s">
        <v>256</v>
      </c>
      <c r="E118" s="42" t="s">
        <v>257</v>
      </c>
      <c r="F118" s="39" t="s">
        <v>53</v>
      </c>
      <c r="G118" s="24" t="s">
        <v>65</v>
      </c>
      <c r="H118" s="136">
        <v>3564.748206600001</v>
      </c>
      <c r="I118" s="149">
        <v>7447</v>
      </c>
      <c r="J118" s="136">
        <f t="shared" si="30"/>
        <v>446.82</v>
      </c>
      <c r="K118" s="136">
        <v>105</v>
      </c>
      <c r="L118" s="139"/>
      <c r="M118" s="139"/>
      <c r="N118" s="136"/>
      <c r="O118" s="11"/>
      <c r="P118" s="136"/>
      <c r="Q118" s="140"/>
      <c r="R118" s="136"/>
      <c r="S118" s="136"/>
      <c r="T118" s="136"/>
      <c r="U118" s="136">
        <f t="shared" si="29"/>
        <v>4116.568206600001</v>
      </c>
    </row>
    <row r="119" spans="1:21" ht="15" hidden="1" outlineLevel="2">
      <c r="A119" s="6" t="s">
        <v>254</v>
      </c>
      <c r="B119" s="7" t="s">
        <v>147</v>
      </c>
      <c r="C119" s="7" t="s">
        <v>255</v>
      </c>
      <c r="D119" s="8" t="s">
        <v>256</v>
      </c>
      <c r="E119" s="42" t="s">
        <v>257</v>
      </c>
      <c r="F119" s="39" t="s">
        <v>53</v>
      </c>
      <c r="G119" s="24" t="s">
        <v>66</v>
      </c>
      <c r="H119" s="136">
        <v>173.05779820000004</v>
      </c>
      <c r="I119" s="149">
        <v>162</v>
      </c>
      <c r="J119" s="136">
        <f t="shared" si="30"/>
        <v>9.719999999999999</v>
      </c>
      <c r="K119" s="136">
        <v>60</v>
      </c>
      <c r="L119" s="139"/>
      <c r="M119" s="139"/>
      <c r="N119" s="136"/>
      <c r="O119" s="11"/>
      <c r="P119" s="136"/>
      <c r="Q119" s="140"/>
      <c r="R119" s="136"/>
      <c r="S119" s="136"/>
      <c r="T119" s="136"/>
      <c r="U119" s="136">
        <f t="shared" si="29"/>
        <v>242.77779820000003</v>
      </c>
    </row>
    <row r="120" spans="1:21" ht="15" hidden="1" outlineLevel="2">
      <c r="A120" s="6" t="s">
        <v>254</v>
      </c>
      <c r="B120" s="7" t="s">
        <v>147</v>
      </c>
      <c r="C120" s="7" t="s">
        <v>255</v>
      </c>
      <c r="D120" s="8" t="s">
        <v>256</v>
      </c>
      <c r="E120" s="42" t="s">
        <v>257</v>
      </c>
      <c r="F120" s="39" t="s">
        <v>53</v>
      </c>
      <c r="G120" s="24" t="s">
        <v>167</v>
      </c>
      <c r="H120" s="136">
        <v>19.81854</v>
      </c>
      <c r="I120" s="149">
        <v>19</v>
      </c>
      <c r="J120" s="136">
        <f t="shared" si="30"/>
        <v>1.14</v>
      </c>
      <c r="K120" s="136">
        <v>0</v>
      </c>
      <c r="L120" s="139"/>
      <c r="M120" s="139"/>
      <c r="N120" s="136"/>
      <c r="O120" s="11"/>
      <c r="P120" s="136"/>
      <c r="Q120" s="140"/>
      <c r="R120" s="136"/>
      <c r="S120" s="136"/>
      <c r="T120" s="136"/>
      <c r="U120" s="136">
        <f t="shared" si="29"/>
        <v>20.95854</v>
      </c>
    </row>
    <row r="121" spans="1:21" ht="15" hidden="1" outlineLevel="2">
      <c r="A121" s="6" t="s">
        <v>254</v>
      </c>
      <c r="B121" s="7" t="s">
        <v>147</v>
      </c>
      <c r="C121" s="7" t="s">
        <v>255</v>
      </c>
      <c r="D121" s="8" t="s">
        <v>256</v>
      </c>
      <c r="E121" s="42" t="s">
        <v>257</v>
      </c>
      <c r="F121" s="39" t="s">
        <v>53</v>
      </c>
      <c r="G121" s="24" t="s">
        <v>90</v>
      </c>
      <c r="H121" s="136">
        <v>0.545272</v>
      </c>
      <c r="I121" s="149">
        <v>2</v>
      </c>
      <c r="J121" s="136">
        <f t="shared" si="30"/>
        <v>0.12</v>
      </c>
      <c r="K121" s="136">
        <v>0</v>
      </c>
      <c r="L121" s="139"/>
      <c r="M121" s="139"/>
      <c r="N121" s="136"/>
      <c r="O121" s="11"/>
      <c r="P121" s="136"/>
      <c r="Q121" s="140"/>
      <c r="R121" s="136"/>
      <c r="S121" s="136"/>
      <c r="T121" s="136"/>
      <c r="U121" s="136">
        <f t="shared" si="29"/>
        <v>0.665272</v>
      </c>
    </row>
    <row r="122" spans="1:21" ht="15" hidden="1" outlineLevel="2">
      <c r="A122" s="6" t="str">
        <f>A121</f>
        <v>M250</v>
      </c>
      <c r="B122" s="11" t="str">
        <f>B121</f>
        <v>DCJ</v>
      </c>
      <c r="C122" s="11" t="str">
        <f>C121</f>
        <v>JCJ</v>
      </c>
      <c r="D122" s="13" t="str">
        <f>D121</f>
        <v>509000</v>
      </c>
      <c r="E122" s="24" t="str">
        <f>E121</f>
        <v>50-50</v>
      </c>
      <c r="F122" s="39" t="s">
        <v>585</v>
      </c>
      <c r="G122" s="24" t="s">
        <v>585</v>
      </c>
      <c r="H122" s="136"/>
      <c r="I122" s="149"/>
      <c r="J122" s="136"/>
      <c r="K122" s="136"/>
      <c r="L122" s="139">
        <v>4</v>
      </c>
      <c r="M122" s="139">
        <v>1</v>
      </c>
      <c r="N122" s="136">
        <f>L122*M122*$N$2</f>
        <v>12540</v>
      </c>
      <c r="O122" s="11"/>
      <c r="P122" s="136"/>
      <c r="Q122" s="140"/>
      <c r="R122" s="136"/>
      <c r="S122" s="136"/>
      <c r="T122" s="136"/>
      <c r="U122" s="136">
        <f t="shared" si="29"/>
        <v>12540</v>
      </c>
    </row>
    <row r="123" spans="1:21" ht="15" hidden="1" outlineLevel="2">
      <c r="A123" s="6" t="str">
        <f>A121</f>
        <v>M250</v>
      </c>
      <c r="B123" s="11" t="str">
        <f>B121</f>
        <v>DCJ</v>
      </c>
      <c r="C123" s="11" t="str">
        <f>C121</f>
        <v>JCJ</v>
      </c>
      <c r="D123" s="13" t="str">
        <f>D121</f>
        <v>509000</v>
      </c>
      <c r="E123" s="24" t="str">
        <f>E121</f>
        <v>50-50</v>
      </c>
      <c r="F123" s="39" t="s">
        <v>615</v>
      </c>
      <c r="G123" s="24" t="s">
        <v>615</v>
      </c>
      <c r="H123" s="136"/>
      <c r="I123" s="149"/>
      <c r="J123" s="136"/>
      <c r="K123" s="136"/>
      <c r="L123" s="139"/>
      <c r="M123" s="139"/>
      <c r="N123" s="136"/>
      <c r="O123" s="34">
        <f>5.75+0.5</f>
        <v>6.25</v>
      </c>
      <c r="P123" s="136">
        <f>O123*$P$2</f>
        <v>450</v>
      </c>
      <c r="Q123" s="140"/>
      <c r="R123" s="136"/>
      <c r="S123" s="136"/>
      <c r="T123" s="136"/>
      <c r="U123" s="136">
        <f t="shared" si="29"/>
        <v>450</v>
      </c>
    </row>
    <row r="124" spans="1:21" ht="15" hidden="1" outlineLevel="2">
      <c r="A124" s="36" t="s">
        <v>655</v>
      </c>
      <c r="B124" s="11" t="str">
        <f>B123</f>
        <v>DCJ</v>
      </c>
      <c r="C124" s="11" t="str">
        <f>C123</f>
        <v>JCJ</v>
      </c>
      <c r="D124" s="13" t="str">
        <f>D123</f>
        <v>509000</v>
      </c>
      <c r="E124" s="27" t="str">
        <f>E123</f>
        <v>50-50</v>
      </c>
      <c r="F124" s="20" t="s">
        <v>683</v>
      </c>
      <c r="G124" s="11" t="s">
        <v>683</v>
      </c>
      <c r="H124" s="136"/>
      <c r="I124" s="140"/>
      <c r="J124" s="136"/>
      <c r="K124" s="136"/>
      <c r="L124" s="139"/>
      <c r="M124" s="139"/>
      <c r="N124" s="136"/>
      <c r="O124" s="34"/>
      <c r="P124" s="136"/>
      <c r="Q124" s="140"/>
      <c r="R124" s="136"/>
      <c r="S124" s="136"/>
      <c r="T124" s="150">
        <f>41.19+21.68</f>
        <v>62.87</v>
      </c>
      <c r="U124" s="136">
        <f t="shared" si="29"/>
        <v>62.87</v>
      </c>
    </row>
    <row r="125" spans="1:21" s="5" customFormat="1" ht="15.75" outlineLevel="1" collapsed="1">
      <c r="A125" s="64" t="s">
        <v>815</v>
      </c>
      <c r="B125" s="45"/>
      <c r="C125" s="45"/>
      <c r="D125" s="61"/>
      <c r="E125" s="52"/>
      <c r="F125" s="51"/>
      <c r="G125" s="45"/>
      <c r="H125" s="137">
        <f aca="true" t="shared" si="31" ref="H125:U125">SUBTOTAL(9,H114:H124)</f>
        <v>6716.037627600003</v>
      </c>
      <c r="I125" s="167">
        <f t="shared" si="31"/>
        <v>12837</v>
      </c>
      <c r="J125" s="137">
        <f t="shared" si="31"/>
        <v>939.46</v>
      </c>
      <c r="K125" s="137">
        <f t="shared" si="31"/>
        <v>180</v>
      </c>
      <c r="L125" s="141">
        <f t="shared" si="31"/>
        <v>4</v>
      </c>
      <c r="M125" s="141">
        <f t="shared" si="31"/>
        <v>1</v>
      </c>
      <c r="N125" s="137">
        <f t="shared" si="31"/>
        <v>12540</v>
      </c>
      <c r="O125" s="65">
        <f t="shared" si="31"/>
        <v>17.25</v>
      </c>
      <c r="P125" s="137">
        <f t="shared" si="31"/>
        <v>1242</v>
      </c>
      <c r="Q125" s="167">
        <f t="shared" si="31"/>
        <v>0</v>
      </c>
      <c r="R125" s="137">
        <f t="shared" si="31"/>
        <v>0</v>
      </c>
      <c r="S125" s="137">
        <f t="shared" si="31"/>
        <v>0</v>
      </c>
      <c r="T125" s="137">
        <f t="shared" si="31"/>
        <v>62.87</v>
      </c>
      <c r="U125" s="137">
        <f t="shared" si="31"/>
        <v>21680.3676276</v>
      </c>
    </row>
    <row r="126" spans="1:21" ht="15" hidden="1" outlineLevel="2">
      <c r="A126" s="6" t="s">
        <v>258</v>
      </c>
      <c r="B126" s="7" t="s">
        <v>147</v>
      </c>
      <c r="C126" s="7" t="s">
        <v>259</v>
      </c>
      <c r="D126" s="8">
        <v>508000</v>
      </c>
      <c r="E126" s="42" t="s">
        <v>257</v>
      </c>
      <c r="F126" s="39" t="s">
        <v>53</v>
      </c>
      <c r="G126" s="24" t="s">
        <v>64</v>
      </c>
      <c r="H126" s="136">
        <v>1.908452</v>
      </c>
      <c r="I126" s="149">
        <v>1</v>
      </c>
      <c r="J126" s="136">
        <f>I126*$J$2</f>
        <v>0.06</v>
      </c>
      <c r="K126" s="136">
        <v>15</v>
      </c>
      <c r="L126" s="139"/>
      <c r="M126" s="139"/>
      <c r="N126" s="136"/>
      <c r="O126" s="11"/>
      <c r="P126" s="136"/>
      <c r="Q126" s="140"/>
      <c r="R126" s="136"/>
      <c r="S126" s="136"/>
      <c r="T126" s="136"/>
      <c r="U126" s="136">
        <f>H126+J126+K126+N126+P126+R126+S126+T126</f>
        <v>16.968452</v>
      </c>
    </row>
    <row r="127" spans="1:21" ht="15" hidden="1" outlineLevel="2">
      <c r="A127" s="6" t="str">
        <f>A126</f>
        <v>M254</v>
      </c>
      <c r="B127" s="11" t="str">
        <f>B126</f>
        <v>DCJ</v>
      </c>
      <c r="C127" s="11" t="str">
        <f>C126</f>
        <v>JCJ CNSLNG COURT</v>
      </c>
      <c r="D127" s="13">
        <f>D126</f>
        <v>508000</v>
      </c>
      <c r="E127" s="24" t="str">
        <f>E126</f>
        <v>50-50</v>
      </c>
      <c r="F127" s="39" t="s">
        <v>585</v>
      </c>
      <c r="G127" s="24" t="s">
        <v>585</v>
      </c>
      <c r="H127" s="136"/>
      <c r="I127" s="149"/>
      <c r="J127" s="136"/>
      <c r="K127" s="136"/>
      <c r="L127" s="139">
        <v>1</v>
      </c>
      <c r="M127" s="139">
        <v>1</v>
      </c>
      <c r="N127" s="136">
        <f>L127*M127*$N$2</f>
        <v>3135</v>
      </c>
      <c r="O127" s="11"/>
      <c r="P127" s="136"/>
      <c r="Q127" s="140"/>
      <c r="R127" s="136"/>
      <c r="S127" s="136"/>
      <c r="T127" s="136"/>
      <c r="U127" s="136">
        <f>H127+J127+K127+N127+P127+R127+S127+T127</f>
        <v>3135</v>
      </c>
    </row>
    <row r="128" spans="1:21" ht="15" hidden="1" outlineLevel="2">
      <c r="A128" s="28" t="s">
        <v>258</v>
      </c>
      <c r="B128" s="11" t="str">
        <f>B127</f>
        <v>DCJ</v>
      </c>
      <c r="C128" s="11" t="str">
        <f>C127</f>
        <v>JCJ CNSLNG COURT</v>
      </c>
      <c r="D128" s="13">
        <f>D127</f>
        <v>508000</v>
      </c>
      <c r="E128" s="38" t="str">
        <f>E127</f>
        <v>50-50</v>
      </c>
      <c r="F128" s="20" t="s">
        <v>615</v>
      </c>
      <c r="G128" s="11" t="s">
        <v>615</v>
      </c>
      <c r="H128" s="136"/>
      <c r="I128" s="140"/>
      <c r="J128" s="136"/>
      <c r="K128" s="136"/>
      <c r="L128" s="139"/>
      <c r="M128" s="139"/>
      <c r="N128" s="136"/>
      <c r="O128" s="29">
        <v>0.25</v>
      </c>
      <c r="P128" s="136">
        <f>O128*$P$2</f>
        <v>18</v>
      </c>
      <c r="Q128" s="140"/>
      <c r="R128" s="136"/>
      <c r="S128" s="136"/>
      <c r="T128" s="136"/>
      <c r="U128" s="136">
        <f>H128+J128+K128+N128+P128+R128+S128+T128</f>
        <v>18</v>
      </c>
    </row>
    <row r="129" spans="1:21" s="5" customFormat="1" ht="15.75" outlineLevel="1" collapsed="1">
      <c r="A129" s="64" t="s">
        <v>816</v>
      </c>
      <c r="B129" s="45"/>
      <c r="C129" s="45"/>
      <c r="D129" s="61"/>
      <c r="E129" s="52"/>
      <c r="F129" s="51"/>
      <c r="G129" s="45"/>
      <c r="H129" s="137">
        <f aca="true" t="shared" si="32" ref="H129:U129">SUBTOTAL(9,H126:H128)</f>
        <v>1.908452</v>
      </c>
      <c r="I129" s="167">
        <f t="shared" si="32"/>
        <v>1</v>
      </c>
      <c r="J129" s="137">
        <f t="shared" si="32"/>
        <v>0.06</v>
      </c>
      <c r="K129" s="137">
        <f t="shared" si="32"/>
        <v>15</v>
      </c>
      <c r="L129" s="141">
        <f t="shared" si="32"/>
        <v>1</v>
      </c>
      <c r="M129" s="141">
        <f t="shared" si="32"/>
        <v>1</v>
      </c>
      <c r="N129" s="137">
        <f t="shared" si="32"/>
        <v>3135</v>
      </c>
      <c r="O129" s="65">
        <f t="shared" si="32"/>
        <v>0.25</v>
      </c>
      <c r="P129" s="137">
        <f t="shared" si="32"/>
        <v>18</v>
      </c>
      <c r="Q129" s="167">
        <f t="shared" si="32"/>
        <v>0</v>
      </c>
      <c r="R129" s="137">
        <f t="shared" si="32"/>
        <v>0</v>
      </c>
      <c r="S129" s="137">
        <f t="shared" si="32"/>
        <v>0</v>
      </c>
      <c r="T129" s="137">
        <f t="shared" si="32"/>
        <v>0</v>
      </c>
      <c r="U129" s="137">
        <f t="shared" si="32"/>
        <v>3169.968452</v>
      </c>
    </row>
    <row r="130" spans="1:21" ht="15" hidden="1" outlineLevel="2">
      <c r="A130" s="9" t="s">
        <v>16</v>
      </c>
      <c r="B130" s="25" t="s">
        <v>147</v>
      </c>
      <c r="C130" s="16" t="s">
        <v>599</v>
      </c>
      <c r="D130" s="26">
        <v>508100</v>
      </c>
      <c r="E130" s="27" t="s">
        <v>257</v>
      </c>
      <c r="F130" s="20" t="s">
        <v>585</v>
      </c>
      <c r="G130" s="27" t="s">
        <v>585</v>
      </c>
      <c r="H130" s="136"/>
      <c r="I130" s="149"/>
      <c r="J130" s="136"/>
      <c r="K130" s="136"/>
      <c r="L130" s="139">
        <v>1</v>
      </c>
      <c r="M130" s="139">
        <v>1</v>
      </c>
      <c r="N130" s="136">
        <f>L130*M130*$N$2</f>
        <v>3135</v>
      </c>
      <c r="O130" s="11"/>
      <c r="P130" s="136"/>
      <c r="Q130" s="140"/>
      <c r="R130" s="136"/>
      <c r="S130" s="136"/>
      <c r="T130" s="136"/>
      <c r="U130" s="136">
        <f>H130+J130+K130+N130+P130+R130+S130+T130</f>
        <v>3135</v>
      </c>
    </row>
    <row r="131" spans="1:21" s="5" customFormat="1" ht="15.75" outlineLevel="1" collapsed="1">
      <c r="A131" s="64" t="s">
        <v>817</v>
      </c>
      <c r="B131" s="45"/>
      <c r="C131" s="45"/>
      <c r="D131" s="61"/>
      <c r="E131" s="52"/>
      <c r="F131" s="51"/>
      <c r="G131" s="45"/>
      <c r="H131" s="137">
        <f aca="true" t="shared" si="33" ref="H131:U131">SUBTOTAL(9,H130:H130)</f>
        <v>0</v>
      </c>
      <c r="I131" s="167">
        <f t="shared" si="33"/>
        <v>0</v>
      </c>
      <c r="J131" s="137">
        <f t="shared" si="33"/>
        <v>0</v>
      </c>
      <c r="K131" s="137">
        <f t="shared" si="33"/>
        <v>0</v>
      </c>
      <c r="L131" s="141">
        <f t="shared" si="33"/>
        <v>1</v>
      </c>
      <c r="M131" s="141">
        <f t="shared" si="33"/>
        <v>1</v>
      </c>
      <c r="N131" s="137">
        <f t="shared" si="33"/>
        <v>3135</v>
      </c>
      <c r="O131" s="65">
        <f t="shared" si="33"/>
        <v>0</v>
      </c>
      <c r="P131" s="137">
        <f t="shared" si="33"/>
        <v>0</v>
      </c>
      <c r="Q131" s="167">
        <f t="shared" si="33"/>
        <v>0</v>
      </c>
      <c r="R131" s="137">
        <f t="shared" si="33"/>
        <v>0</v>
      </c>
      <c r="S131" s="137">
        <f t="shared" si="33"/>
        <v>0</v>
      </c>
      <c r="T131" s="137">
        <f t="shared" si="33"/>
        <v>0</v>
      </c>
      <c r="U131" s="137">
        <f t="shared" si="33"/>
        <v>3135</v>
      </c>
    </row>
    <row r="132" spans="1:21" ht="15" hidden="1" outlineLevel="2">
      <c r="A132" s="6" t="s">
        <v>260</v>
      </c>
      <c r="B132" s="7" t="s">
        <v>147</v>
      </c>
      <c r="C132" s="7" t="s">
        <v>261</v>
      </c>
      <c r="D132" s="8" t="s">
        <v>262</v>
      </c>
      <c r="E132" s="42" t="s">
        <v>257</v>
      </c>
      <c r="F132" s="39" t="s">
        <v>53</v>
      </c>
      <c r="G132" s="24" t="s">
        <v>62</v>
      </c>
      <c r="H132" s="136">
        <v>856.4136406000005</v>
      </c>
      <c r="I132" s="149">
        <v>2451</v>
      </c>
      <c r="J132" s="136">
        <f>I132*$J$1</f>
        <v>245.10000000000002</v>
      </c>
      <c r="K132" s="136">
        <v>75</v>
      </c>
      <c r="L132" s="139"/>
      <c r="M132" s="139"/>
      <c r="N132" s="136"/>
      <c r="O132" s="11"/>
      <c r="P132" s="136"/>
      <c r="Q132" s="140"/>
      <c r="R132" s="136"/>
      <c r="S132" s="136"/>
      <c r="T132" s="136"/>
      <c r="U132" s="136">
        <f aca="true" t="shared" si="34" ref="U132:U138">H132+J132+K132+N132+P132+R132+S132+T132</f>
        <v>1176.5136406000006</v>
      </c>
    </row>
    <row r="133" spans="1:21" ht="15" hidden="1" outlineLevel="2">
      <c r="A133" s="6" t="s">
        <v>260</v>
      </c>
      <c r="B133" s="7" t="s">
        <v>147</v>
      </c>
      <c r="C133" s="7" t="s">
        <v>261</v>
      </c>
      <c r="D133" s="8" t="s">
        <v>262</v>
      </c>
      <c r="E133" s="42" t="s">
        <v>257</v>
      </c>
      <c r="F133" s="39" t="s">
        <v>53</v>
      </c>
      <c r="G133" s="24" t="s">
        <v>63</v>
      </c>
      <c r="H133" s="136">
        <v>50.899043999999996</v>
      </c>
      <c r="I133" s="149">
        <v>20</v>
      </c>
      <c r="J133" s="136">
        <f>I133*$J$2</f>
        <v>1.2</v>
      </c>
      <c r="K133" s="136">
        <v>0</v>
      </c>
      <c r="L133" s="139"/>
      <c r="M133" s="139"/>
      <c r="N133" s="136"/>
      <c r="O133" s="11"/>
      <c r="P133" s="136"/>
      <c r="Q133" s="140"/>
      <c r="R133" s="136"/>
      <c r="S133" s="136"/>
      <c r="T133" s="136"/>
      <c r="U133" s="136">
        <f t="shared" si="34"/>
        <v>52.099044</v>
      </c>
    </row>
    <row r="134" spans="1:21" ht="15" hidden="1" outlineLevel="2">
      <c r="A134" s="6" t="s">
        <v>260</v>
      </c>
      <c r="B134" s="7" t="s">
        <v>147</v>
      </c>
      <c r="C134" s="7" t="s">
        <v>261</v>
      </c>
      <c r="D134" s="8" t="s">
        <v>262</v>
      </c>
      <c r="E134" s="42" t="s">
        <v>257</v>
      </c>
      <c r="F134" s="39" t="s">
        <v>53</v>
      </c>
      <c r="G134" s="24" t="s">
        <v>64</v>
      </c>
      <c r="H134" s="136">
        <v>117.7336622</v>
      </c>
      <c r="I134" s="149">
        <v>108</v>
      </c>
      <c r="J134" s="136">
        <f>I134*$J$2</f>
        <v>6.4799999999999995</v>
      </c>
      <c r="K134" s="136">
        <v>0</v>
      </c>
      <c r="L134" s="139"/>
      <c r="M134" s="139"/>
      <c r="N134" s="136"/>
      <c r="O134" s="11"/>
      <c r="P134" s="136"/>
      <c r="Q134" s="140"/>
      <c r="R134" s="136"/>
      <c r="S134" s="136"/>
      <c r="T134" s="136"/>
      <c r="U134" s="136">
        <f t="shared" si="34"/>
        <v>124.2136622</v>
      </c>
    </row>
    <row r="135" spans="1:21" ht="15" hidden="1" outlineLevel="2">
      <c r="A135" s="6" t="s">
        <v>260</v>
      </c>
      <c r="B135" s="7" t="s">
        <v>147</v>
      </c>
      <c r="C135" s="7" t="s">
        <v>261</v>
      </c>
      <c r="D135" s="8" t="s">
        <v>262</v>
      </c>
      <c r="E135" s="42" t="s">
        <v>257</v>
      </c>
      <c r="F135" s="39" t="s">
        <v>53</v>
      </c>
      <c r="G135" s="24" t="s">
        <v>65</v>
      </c>
      <c r="H135" s="136">
        <v>149.67401819999995</v>
      </c>
      <c r="I135" s="149">
        <v>290</v>
      </c>
      <c r="J135" s="136">
        <f>I135*$J$2</f>
        <v>17.4</v>
      </c>
      <c r="K135" s="136">
        <v>105</v>
      </c>
      <c r="L135" s="139"/>
      <c r="M135" s="139"/>
      <c r="N135" s="136"/>
      <c r="O135" s="11"/>
      <c r="P135" s="136"/>
      <c r="Q135" s="140"/>
      <c r="R135" s="136"/>
      <c r="S135" s="136"/>
      <c r="T135" s="136"/>
      <c r="U135" s="136">
        <f t="shared" si="34"/>
        <v>272.07401819999995</v>
      </c>
    </row>
    <row r="136" spans="1:21" ht="15" hidden="1" outlineLevel="2">
      <c r="A136" s="6" t="s">
        <v>260</v>
      </c>
      <c r="B136" s="7" t="s">
        <v>147</v>
      </c>
      <c r="C136" s="7" t="s">
        <v>261</v>
      </c>
      <c r="D136" s="8" t="s">
        <v>262</v>
      </c>
      <c r="E136" s="42" t="s">
        <v>257</v>
      </c>
      <c r="F136" s="39" t="s">
        <v>53</v>
      </c>
      <c r="G136" s="24" t="s">
        <v>66</v>
      </c>
      <c r="H136" s="136">
        <v>43.517948600000004</v>
      </c>
      <c r="I136" s="149">
        <v>52</v>
      </c>
      <c r="J136" s="136">
        <f>I136*$J$2</f>
        <v>3.12</v>
      </c>
      <c r="K136" s="136">
        <v>0</v>
      </c>
      <c r="L136" s="139"/>
      <c r="M136" s="139"/>
      <c r="N136" s="136"/>
      <c r="O136" s="11"/>
      <c r="P136" s="136"/>
      <c r="Q136" s="140"/>
      <c r="R136" s="136"/>
      <c r="S136" s="136"/>
      <c r="T136" s="136"/>
      <c r="U136" s="136">
        <f t="shared" si="34"/>
        <v>46.6379486</v>
      </c>
    </row>
    <row r="137" spans="1:21" ht="15" hidden="1" outlineLevel="2">
      <c r="A137" s="6" t="str">
        <f>A136</f>
        <v>M280</v>
      </c>
      <c r="B137" s="11" t="str">
        <f>B136</f>
        <v>DCJ</v>
      </c>
      <c r="C137" s="11" t="str">
        <f>C136</f>
        <v>FAMILY COURT SERVICES</v>
      </c>
      <c r="D137" s="13" t="str">
        <f>D136</f>
        <v>509040</v>
      </c>
      <c r="E137" s="24" t="str">
        <f>E136</f>
        <v>50-50</v>
      </c>
      <c r="F137" s="39" t="s">
        <v>585</v>
      </c>
      <c r="G137" s="24" t="s">
        <v>585</v>
      </c>
      <c r="H137" s="136"/>
      <c r="I137" s="149"/>
      <c r="J137" s="136"/>
      <c r="K137" s="136"/>
      <c r="L137" s="139">
        <v>1</v>
      </c>
      <c r="M137" s="139">
        <v>1</v>
      </c>
      <c r="N137" s="136">
        <f>L137*M137*$N$2</f>
        <v>3135</v>
      </c>
      <c r="O137" s="11"/>
      <c r="P137" s="136"/>
      <c r="Q137" s="140"/>
      <c r="R137" s="136"/>
      <c r="S137" s="136"/>
      <c r="T137" s="136"/>
      <c r="U137" s="136">
        <f t="shared" si="34"/>
        <v>3135</v>
      </c>
    </row>
    <row r="138" spans="1:21" ht="15" hidden="1" outlineLevel="2">
      <c r="A138" s="6" t="str">
        <f>A136</f>
        <v>M280</v>
      </c>
      <c r="B138" s="11" t="str">
        <f>B136</f>
        <v>DCJ</v>
      </c>
      <c r="C138" s="11" t="str">
        <f>C136</f>
        <v>FAMILY COURT SERVICES</v>
      </c>
      <c r="D138" s="13" t="str">
        <f>D136</f>
        <v>509040</v>
      </c>
      <c r="E138" s="24" t="str">
        <f>E136</f>
        <v>50-50</v>
      </c>
      <c r="F138" s="39" t="s">
        <v>615</v>
      </c>
      <c r="G138" s="24" t="s">
        <v>615</v>
      </c>
      <c r="H138" s="136"/>
      <c r="I138" s="149"/>
      <c r="J138" s="136"/>
      <c r="K138" s="136"/>
      <c r="L138" s="139"/>
      <c r="M138" s="139"/>
      <c r="N138" s="136"/>
      <c r="O138" s="34">
        <v>0.75</v>
      </c>
      <c r="P138" s="136">
        <f>O138*$P$2</f>
        <v>54</v>
      </c>
      <c r="Q138" s="140"/>
      <c r="R138" s="136"/>
      <c r="S138" s="136"/>
      <c r="T138" s="136"/>
      <c r="U138" s="136">
        <f t="shared" si="34"/>
        <v>54</v>
      </c>
    </row>
    <row r="139" spans="1:21" s="5" customFormat="1" ht="15.75" outlineLevel="1" collapsed="1">
      <c r="A139" s="64" t="s">
        <v>818</v>
      </c>
      <c r="B139" s="45"/>
      <c r="C139" s="45"/>
      <c r="D139" s="61"/>
      <c r="E139" s="52"/>
      <c r="F139" s="51"/>
      <c r="G139" s="45"/>
      <c r="H139" s="137">
        <f aca="true" t="shared" si="35" ref="H139:U139">SUBTOTAL(9,H132:H138)</f>
        <v>1218.2383136000003</v>
      </c>
      <c r="I139" s="167">
        <f t="shared" si="35"/>
        <v>2921</v>
      </c>
      <c r="J139" s="137">
        <f t="shared" si="35"/>
        <v>273.3</v>
      </c>
      <c r="K139" s="137">
        <f t="shared" si="35"/>
        <v>180</v>
      </c>
      <c r="L139" s="141">
        <f t="shared" si="35"/>
        <v>1</v>
      </c>
      <c r="M139" s="141">
        <f t="shared" si="35"/>
        <v>1</v>
      </c>
      <c r="N139" s="137">
        <f t="shared" si="35"/>
        <v>3135</v>
      </c>
      <c r="O139" s="65">
        <f t="shared" si="35"/>
        <v>0.75</v>
      </c>
      <c r="P139" s="137">
        <f t="shared" si="35"/>
        <v>54</v>
      </c>
      <c r="Q139" s="167">
        <f t="shared" si="35"/>
        <v>0</v>
      </c>
      <c r="R139" s="137">
        <f t="shared" si="35"/>
        <v>0</v>
      </c>
      <c r="S139" s="137">
        <f t="shared" si="35"/>
        <v>0</v>
      </c>
      <c r="T139" s="137">
        <f t="shared" si="35"/>
        <v>0</v>
      </c>
      <c r="U139" s="137">
        <f t="shared" si="35"/>
        <v>4860.538313600001</v>
      </c>
    </row>
    <row r="140" spans="1:21" ht="15" hidden="1" outlineLevel="2">
      <c r="A140" s="6" t="s">
        <v>263</v>
      </c>
      <c r="B140" s="7" t="s">
        <v>147</v>
      </c>
      <c r="C140" s="7" t="s">
        <v>210</v>
      </c>
      <c r="D140" s="8" t="s">
        <v>264</v>
      </c>
      <c r="E140" s="42" t="s">
        <v>202</v>
      </c>
      <c r="F140" s="39" t="s">
        <v>53</v>
      </c>
      <c r="G140" s="24" t="s">
        <v>62</v>
      </c>
      <c r="H140" s="136">
        <v>574.9505258000002</v>
      </c>
      <c r="I140" s="149">
        <v>1738</v>
      </c>
      <c r="J140" s="136">
        <f>I140*$J$1</f>
        <v>173.8</v>
      </c>
      <c r="K140" s="136">
        <v>45</v>
      </c>
      <c r="L140" s="139"/>
      <c r="M140" s="139"/>
      <c r="N140" s="136"/>
      <c r="O140" s="11"/>
      <c r="P140" s="136"/>
      <c r="Q140" s="140"/>
      <c r="R140" s="136"/>
      <c r="S140" s="136"/>
      <c r="T140" s="136"/>
      <c r="U140" s="136">
        <f aca="true" t="shared" si="36" ref="U140:U147">H140+J140+K140+N140+P140+R140+S140+T140</f>
        <v>793.7505258000001</v>
      </c>
    </row>
    <row r="141" spans="1:21" ht="15" hidden="1" outlineLevel="2">
      <c r="A141" s="6" t="s">
        <v>263</v>
      </c>
      <c r="B141" s="7" t="s">
        <v>147</v>
      </c>
      <c r="C141" s="7" t="s">
        <v>210</v>
      </c>
      <c r="D141" s="8" t="s">
        <v>264</v>
      </c>
      <c r="E141" s="42" t="s">
        <v>202</v>
      </c>
      <c r="F141" s="39" t="s">
        <v>53</v>
      </c>
      <c r="G141" s="24" t="s">
        <v>63</v>
      </c>
      <c r="H141" s="136">
        <v>54.065816</v>
      </c>
      <c r="I141" s="149">
        <v>15</v>
      </c>
      <c r="J141" s="136">
        <f>I141*$J$2</f>
        <v>0.8999999999999999</v>
      </c>
      <c r="K141" s="136">
        <v>0</v>
      </c>
      <c r="L141" s="139"/>
      <c r="M141" s="139"/>
      <c r="N141" s="136"/>
      <c r="O141" s="11"/>
      <c r="P141" s="136"/>
      <c r="Q141" s="140"/>
      <c r="R141" s="136"/>
      <c r="S141" s="136"/>
      <c r="T141" s="136"/>
      <c r="U141" s="136">
        <f t="shared" si="36"/>
        <v>54.965816</v>
      </c>
    </row>
    <row r="142" spans="1:21" ht="15" hidden="1" outlineLevel="2">
      <c r="A142" s="6" t="s">
        <v>263</v>
      </c>
      <c r="B142" s="7" t="s">
        <v>147</v>
      </c>
      <c r="C142" s="7" t="s">
        <v>210</v>
      </c>
      <c r="D142" s="8" t="s">
        <v>264</v>
      </c>
      <c r="E142" s="42" t="s">
        <v>202</v>
      </c>
      <c r="F142" s="39" t="s">
        <v>53</v>
      </c>
      <c r="G142" s="24" t="s">
        <v>64</v>
      </c>
      <c r="H142" s="136">
        <v>11.0910422</v>
      </c>
      <c r="I142" s="149">
        <v>16</v>
      </c>
      <c r="J142" s="136">
        <f>I142*$J$2</f>
        <v>0.96</v>
      </c>
      <c r="K142" s="136">
        <v>0</v>
      </c>
      <c r="L142" s="139"/>
      <c r="M142" s="139"/>
      <c r="N142" s="136"/>
      <c r="O142" s="11"/>
      <c r="P142" s="136"/>
      <c r="Q142" s="140"/>
      <c r="R142" s="136"/>
      <c r="S142" s="136"/>
      <c r="T142" s="136"/>
      <c r="U142" s="136">
        <f t="shared" si="36"/>
        <v>12.051042200000001</v>
      </c>
    </row>
    <row r="143" spans="1:21" ht="15" hidden="1" outlineLevel="2">
      <c r="A143" s="6" t="s">
        <v>263</v>
      </c>
      <c r="B143" s="7" t="s">
        <v>147</v>
      </c>
      <c r="C143" s="7" t="s">
        <v>210</v>
      </c>
      <c r="D143" s="8" t="s">
        <v>264</v>
      </c>
      <c r="E143" s="42" t="s">
        <v>202</v>
      </c>
      <c r="F143" s="39" t="s">
        <v>53</v>
      </c>
      <c r="G143" s="24" t="s">
        <v>65</v>
      </c>
      <c r="H143" s="136">
        <v>523.272372</v>
      </c>
      <c r="I143" s="149">
        <v>1204</v>
      </c>
      <c r="J143" s="136">
        <f>I143*$J$2</f>
        <v>72.24</v>
      </c>
      <c r="K143" s="136">
        <v>135</v>
      </c>
      <c r="L143" s="139"/>
      <c r="M143" s="139"/>
      <c r="N143" s="136"/>
      <c r="O143" s="11"/>
      <c r="P143" s="136"/>
      <c r="Q143" s="140"/>
      <c r="R143" s="136"/>
      <c r="S143" s="136"/>
      <c r="T143" s="136"/>
      <c r="U143" s="136">
        <f t="shared" si="36"/>
        <v>730.512372</v>
      </c>
    </row>
    <row r="144" spans="1:21" ht="15" hidden="1" outlineLevel="2">
      <c r="A144" s="6" t="s">
        <v>263</v>
      </c>
      <c r="B144" s="7" t="s">
        <v>147</v>
      </c>
      <c r="C144" s="7" t="s">
        <v>210</v>
      </c>
      <c r="D144" s="8" t="s">
        <v>264</v>
      </c>
      <c r="E144" s="42" t="s">
        <v>202</v>
      </c>
      <c r="F144" s="39" t="s">
        <v>53</v>
      </c>
      <c r="G144" s="24" t="s">
        <v>66</v>
      </c>
      <c r="H144" s="136">
        <v>1.8182724</v>
      </c>
      <c r="I144" s="149">
        <v>3</v>
      </c>
      <c r="J144" s="136">
        <f>I144*$J$2</f>
        <v>0.18</v>
      </c>
      <c r="K144" s="136">
        <v>0</v>
      </c>
      <c r="L144" s="139"/>
      <c r="M144" s="139"/>
      <c r="N144" s="136"/>
      <c r="O144" s="11"/>
      <c r="P144" s="136"/>
      <c r="Q144" s="140"/>
      <c r="R144" s="136"/>
      <c r="S144" s="136"/>
      <c r="T144" s="136"/>
      <c r="U144" s="136">
        <f t="shared" si="36"/>
        <v>1.9982723999999998</v>
      </c>
    </row>
    <row r="145" spans="1:21" ht="15" hidden="1" outlineLevel="2">
      <c r="A145" s="6" t="str">
        <f>A144</f>
        <v>M285</v>
      </c>
      <c r="B145" s="11" t="str">
        <f>B144</f>
        <v>DCJ</v>
      </c>
      <c r="C145" s="11" t="str">
        <f>C144</f>
        <v>ACJ</v>
      </c>
      <c r="D145" s="13" t="str">
        <f>D144</f>
        <v>503401</v>
      </c>
      <c r="E145" s="24" t="str">
        <f>E144</f>
        <v>50-10</v>
      </c>
      <c r="F145" s="39" t="s">
        <v>585</v>
      </c>
      <c r="G145" s="24" t="s">
        <v>585</v>
      </c>
      <c r="H145" s="136"/>
      <c r="I145" s="149"/>
      <c r="J145" s="136"/>
      <c r="K145" s="136"/>
      <c r="L145" s="139">
        <v>4</v>
      </c>
      <c r="M145" s="139">
        <v>0.083</v>
      </c>
      <c r="N145" s="136">
        <f>L145*M145*$N$2</f>
        <v>1040.8200000000002</v>
      </c>
      <c r="O145" s="11"/>
      <c r="P145" s="136"/>
      <c r="Q145" s="140"/>
      <c r="R145" s="136"/>
      <c r="S145" s="136"/>
      <c r="T145" s="136"/>
      <c r="U145" s="136">
        <f t="shared" si="36"/>
        <v>1040.8200000000002</v>
      </c>
    </row>
    <row r="146" spans="1:21" ht="15" hidden="1" outlineLevel="2">
      <c r="A146" s="28" t="s">
        <v>263</v>
      </c>
      <c r="B146" s="11" t="str">
        <f>B145</f>
        <v>DCJ</v>
      </c>
      <c r="C146" s="11" t="str">
        <f>C145</f>
        <v>ACJ</v>
      </c>
      <c r="D146" s="13" t="str">
        <f>D145</f>
        <v>503401</v>
      </c>
      <c r="E146" s="38" t="str">
        <f>E145</f>
        <v>50-10</v>
      </c>
      <c r="F146" s="20" t="s">
        <v>615</v>
      </c>
      <c r="G146" s="11" t="s">
        <v>615</v>
      </c>
      <c r="H146" s="136"/>
      <c r="I146" s="140"/>
      <c r="J146" s="136"/>
      <c r="K146" s="136"/>
      <c r="L146" s="139"/>
      <c r="M146" s="139"/>
      <c r="N146" s="136"/>
      <c r="O146" s="29">
        <f>0.25+0.75+0.75</f>
        <v>1.75</v>
      </c>
      <c r="P146" s="136">
        <f>O146*$P$2</f>
        <v>126</v>
      </c>
      <c r="Q146" s="140"/>
      <c r="R146" s="136"/>
      <c r="S146" s="136"/>
      <c r="T146" s="136"/>
      <c r="U146" s="136">
        <f t="shared" si="36"/>
        <v>126</v>
      </c>
    </row>
    <row r="147" spans="1:21" ht="15" hidden="1" outlineLevel="2">
      <c r="A147" s="28" t="s">
        <v>263</v>
      </c>
      <c r="B147" s="11" t="str">
        <f>B145</f>
        <v>DCJ</v>
      </c>
      <c r="C147" s="11" t="str">
        <f>C145</f>
        <v>ACJ</v>
      </c>
      <c r="D147" s="13" t="str">
        <f>D145</f>
        <v>503401</v>
      </c>
      <c r="E147" s="38" t="str">
        <f>E145</f>
        <v>50-10</v>
      </c>
      <c r="F147" s="20" t="s">
        <v>53</v>
      </c>
      <c r="G147" s="11" t="s">
        <v>684</v>
      </c>
      <c r="H147" s="136"/>
      <c r="I147" s="140"/>
      <c r="J147" s="136"/>
      <c r="K147" s="136"/>
      <c r="L147" s="139"/>
      <c r="M147" s="139"/>
      <c r="N147" s="136"/>
      <c r="O147" s="29"/>
      <c r="P147" s="136"/>
      <c r="Q147" s="140"/>
      <c r="R147" s="136">
        <v>25.6</v>
      </c>
      <c r="S147" s="136"/>
      <c r="T147" s="136"/>
      <c r="U147" s="136">
        <f t="shared" si="36"/>
        <v>25.6</v>
      </c>
    </row>
    <row r="148" spans="1:21" s="5" customFormat="1" ht="15.75" outlineLevel="1" collapsed="1">
      <c r="A148" s="64" t="s">
        <v>819</v>
      </c>
      <c r="B148" s="45"/>
      <c r="C148" s="45"/>
      <c r="D148" s="61"/>
      <c r="E148" s="52"/>
      <c r="F148" s="51"/>
      <c r="G148" s="45"/>
      <c r="H148" s="137">
        <f aca="true" t="shared" si="37" ref="H148:U148">SUBTOTAL(9,H140:H147)</f>
        <v>1165.1980284000003</v>
      </c>
      <c r="I148" s="167">
        <f t="shared" si="37"/>
        <v>2976</v>
      </c>
      <c r="J148" s="137">
        <f t="shared" si="37"/>
        <v>248.08000000000004</v>
      </c>
      <c r="K148" s="137">
        <f t="shared" si="37"/>
        <v>180</v>
      </c>
      <c r="L148" s="141">
        <f t="shared" si="37"/>
        <v>4</v>
      </c>
      <c r="M148" s="141">
        <f t="shared" si="37"/>
        <v>0.083</v>
      </c>
      <c r="N148" s="137">
        <f t="shared" si="37"/>
        <v>1040.8200000000002</v>
      </c>
      <c r="O148" s="65">
        <f t="shared" si="37"/>
        <v>1.75</v>
      </c>
      <c r="P148" s="137">
        <f t="shared" si="37"/>
        <v>126</v>
      </c>
      <c r="Q148" s="167">
        <f t="shared" si="37"/>
        <v>0</v>
      </c>
      <c r="R148" s="137">
        <f t="shared" si="37"/>
        <v>25.6</v>
      </c>
      <c r="S148" s="137">
        <f t="shared" si="37"/>
        <v>0</v>
      </c>
      <c r="T148" s="137">
        <f t="shared" si="37"/>
        <v>0</v>
      </c>
      <c r="U148" s="137">
        <f t="shared" si="37"/>
        <v>2785.6980284</v>
      </c>
    </row>
    <row r="149" spans="1:21" ht="15" hidden="1" outlineLevel="2">
      <c r="A149" s="6" t="s">
        <v>265</v>
      </c>
      <c r="B149" s="7" t="s">
        <v>147</v>
      </c>
      <c r="C149" s="7" t="s">
        <v>235</v>
      </c>
      <c r="D149" s="8">
        <v>505501</v>
      </c>
      <c r="E149" s="42" t="s">
        <v>202</v>
      </c>
      <c r="F149" s="39" t="s">
        <v>53</v>
      </c>
      <c r="G149" s="24" t="s">
        <v>62</v>
      </c>
      <c r="H149" s="136">
        <v>49.7833336</v>
      </c>
      <c r="I149" s="149">
        <v>158</v>
      </c>
      <c r="J149" s="136">
        <f>I149*$J$1</f>
        <v>15.8</v>
      </c>
      <c r="K149" s="136">
        <v>0</v>
      </c>
      <c r="L149" s="139"/>
      <c r="M149" s="139"/>
      <c r="N149" s="136"/>
      <c r="O149" s="11"/>
      <c r="P149" s="136"/>
      <c r="Q149" s="140"/>
      <c r="R149" s="136"/>
      <c r="S149" s="136"/>
      <c r="T149" s="136"/>
      <c r="U149" s="136">
        <f aca="true" t="shared" si="38" ref="U149:U157">H149+J149+K149+N149+P149+R149+S149+T149</f>
        <v>65.5833336</v>
      </c>
    </row>
    <row r="150" spans="1:21" ht="15" hidden="1" outlineLevel="2">
      <c r="A150" s="6" t="s">
        <v>265</v>
      </c>
      <c r="B150" s="7" t="s">
        <v>147</v>
      </c>
      <c r="C150" s="7" t="s">
        <v>235</v>
      </c>
      <c r="D150" s="8">
        <v>505501</v>
      </c>
      <c r="E150" s="42" t="s">
        <v>202</v>
      </c>
      <c r="F150" s="39" t="s">
        <v>53</v>
      </c>
      <c r="G150" s="24" t="s">
        <v>63</v>
      </c>
      <c r="H150" s="136">
        <v>55.533856</v>
      </c>
      <c r="I150" s="149">
        <v>20</v>
      </c>
      <c r="J150" s="136">
        <f>I150*$J$2</f>
        <v>1.2</v>
      </c>
      <c r="K150" s="136">
        <v>15</v>
      </c>
      <c r="L150" s="139"/>
      <c r="M150" s="139"/>
      <c r="N150" s="136"/>
      <c r="O150" s="11"/>
      <c r="P150" s="136"/>
      <c r="Q150" s="140"/>
      <c r="R150" s="136"/>
      <c r="S150" s="136"/>
      <c r="T150" s="136"/>
      <c r="U150" s="136">
        <f t="shared" si="38"/>
        <v>71.733856</v>
      </c>
    </row>
    <row r="151" spans="1:21" ht="15" hidden="1" outlineLevel="2">
      <c r="A151" s="6" t="s">
        <v>265</v>
      </c>
      <c r="B151" s="7" t="s">
        <v>147</v>
      </c>
      <c r="C151" s="7" t="s">
        <v>235</v>
      </c>
      <c r="D151" s="8">
        <v>505501</v>
      </c>
      <c r="E151" s="42" t="s">
        <v>202</v>
      </c>
      <c r="F151" s="39" t="s">
        <v>53</v>
      </c>
      <c r="G151" s="24" t="s">
        <v>64</v>
      </c>
      <c r="H151" s="136">
        <v>22.513441999999998</v>
      </c>
      <c r="I151" s="149">
        <v>13</v>
      </c>
      <c r="J151" s="136">
        <f>I151*$J$2</f>
        <v>0.78</v>
      </c>
      <c r="K151" s="136">
        <v>0</v>
      </c>
      <c r="L151" s="139"/>
      <c r="M151" s="139"/>
      <c r="N151" s="136"/>
      <c r="O151" s="11"/>
      <c r="P151" s="136"/>
      <c r="Q151" s="140"/>
      <c r="R151" s="136"/>
      <c r="S151" s="136"/>
      <c r="T151" s="136"/>
      <c r="U151" s="136">
        <f t="shared" si="38"/>
        <v>23.293442</v>
      </c>
    </row>
    <row r="152" spans="1:21" ht="15" hidden="1" outlineLevel="2">
      <c r="A152" s="6" t="s">
        <v>265</v>
      </c>
      <c r="B152" s="7" t="s">
        <v>147</v>
      </c>
      <c r="C152" s="7" t="s">
        <v>235</v>
      </c>
      <c r="D152" s="8">
        <v>505501</v>
      </c>
      <c r="E152" s="42" t="s">
        <v>202</v>
      </c>
      <c r="F152" s="39" t="s">
        <v>53</v>
      </c>
      <c r="G152" s="24" t="s">
        <v>65</v>
      </c>
      <c r="H152" s="136">
        <v>108.100174</v>
      </c>
      <c r="I152" s="149">
        <v>273</v>
      </c>
      <c r="J152" s="136">
        <f>I152*$J$2</f>
        <v>16.38</v>
      </c>
      <c r="K152" s="136">
        <v>90</v>
      </c>
      <c r="L152" s="139"/>
      <c r="M152" s="139"/>
      <c r="N152" s="136"/>
      <c r="O152" s="11"/>
      <c r="P152" s="136"/>
      <c r="Q152" s="140"/>
      <c r="R152" s="136"/>
      <c r="S152" s="136"/>
      <c r="T152" s="136"/>
      <c r="U152" s="136">
        <f t="shared" si="38"/>
        <v>214.48017399999998</v>
      </c>
    </row>
    <row r="153" spans="1:21" ht="15" hidden="1" outlineLevel="2">
      <c r="A153" s="6" t="s">
        <v>265</v>
      </c>
      <c r="B153" s="7" t="s">
        <v>147</v>
      </c>
      <c r="C153" s="7" t="s">
        <v>235</v>
      </c>
      <c r="D153" s="8">
        <v>505501</v>
      </c>
      <c r="E153" s="42" t="s">
        <v>202</v>
      </c>
      <c r="F153" s="39" t="s">
        <v>53</v>
      </c>
      <c r="G153" s="24" t="s">
        <v>66</v>
      </c>
      <c r="H153" s="136">
        <v>11.213728399999999</v>
      </c>
      <c r="I153" s="149">
        <v>12</v>
      </c>
      <c r="J153" s="136">
        <f>I153*$J$2</f>
        <v>0.72</v>
      </c>
      <c r="K153" s="136">
        <v>30</v>
      </c>
      <c r="L153" s="139"/>
      <c r="M153" s="139"/>
      <c r="N153" s="136"/>
      <c r="O153" s="11"/>
      <c r="P153" s="136"/>
      <c r="Q153" s="140"/>
      <c r="R153" s="136"/>
      <c r="S153" s="136"/>
      <c r="T153" s="136"/>
      <c r="U153" s="136">
        <f t="shared" si="38"/>
        <v>41.9337284</v>
      </c>
    </row>
    <row r="154" spans="1:21" ht="15" hidden="1" outlineLevel="2">
      <c r="A154" s="6" t="s">
        <v>265</v>
      </c>
      <c r="B154" s="7" t="s">
        <v>147</v>
      </c>
      <c r="C154" s="7" t="s">
        <v>235</v>
      </c>
      <c r="D154" s="8">
        <v>505501</v>
      </c>
      <c r="E154" s="42" t="s">
        <v>202</v>
      </c>
      <c r="F154" s="39" t="s">
        <v>53</v>
      </c>
      <c r="G154" s="24" t="s">
        <v>90</v>
      </c>
      <c r="H154" s="136">
        <v>194.085374</v>
      </c>
      <c r="I154" s="149">
        <v>707</v>
      </c>
      <c r="J154" s="136">
        <f>I154*$J$2</f>
        <v>42.42</v>
      </c>
      <c r="K154" s="136">
        <v>45</v>
      </c>
      <c r="L154" s="139"/>
      <c r="M154" s="139"/>
      <c r="N154" s="136"/>
      <c r="O154" s="11"/>
      <c r="P154" s="136"/>
      <c r="Q154" s="140"/>
      <c r="R154" s="136"/>
      <c r="S154" s="136"/>
      <c r="T154" s="136"/>
      <c r="U154" s="136">
        <f t="shared" si="38"/>
        <v>281.505374</v>
      </c>
    </row>
    <row r="155" spans="1:21" ht="15" hidden="1" outlineLevel="2">
      <c r="A155" s="6" t="str">
        <f>A154</f>
        <v>M286</v>
      </c>
      <c r="B155" s="11" t="str">
        <f>B154</f>
        <v>DCJ</v>
      </c>
      <c r="C155" s="11" t="str">
        <f>C154</f>
        <v>ACJ SANCTIONS &amp; SERVICES</v>
      </c>
      <c r="D155" s="13">
        <f>D154</f>
        <v>505501</v>
      </c>
      <c r="E155" s="24" t="str">
        <f>E154</f>
        <v>50-10</v>
      </c>
      <c r="F155" s="39" t="s">
        <v>585</v>
      </c>
      <c r="G155" s="24" t="s">
        <v>585</v>
      </c>
      <c r="H155" s="136"/>
      <c r="I155" s="149"/>
      <c r="J155" s="136"/>
      <c r="K155" s="136"/>
      <c r="L155" s="139">
        <v>4</v>
      </c>
      <c r="M155" s="139">
        <v>0.083</v>
      </c>
      <c r="N155" s="136">
        <f>L155*M155*$N$2</f>
        <v>1040.8200000000002</v>
      </c>
      <c r="O155" s="11"/>
      <c r="P155" s="136"/>
      <c r="Q155" s="140"/>
      <c r="R155" s="136"/>
      <c r="S155" s="136"/>
      <c r="T155" s="136"/>
      <c r="U155" s="136">
        <f t="shared" si="38"/>
        <v>1040.8200000000002</v>
      </c>
    </row>
    <row r="156" spans="1:21" ht="15" hidden="1" outlineLevel="2">
      <c r="A156" s="28" t="s">
        <v>265</v>
      </c>
      <c r="B156" s="11" t="str">
        <f aca="true" t="shared" si="39" ref="B156:E157">B155</f>
        <v>DCJ</v>
      </c>
      <c r="C156" s="11" t="str">
        <f t="shared" si="39"/>
        <v>ACJ SANCTIONS &amp; SERVICES</v>
      </c>
      <c r="D156" s="13">
        <f t="shared" si="39"/>
        <v>505501</v>
      </c>
      <c r="E156" s="38" t="str">
        <f t="shared" si="39"/>
        <v>50-10</v>
      </c>
      <c r="F156" s="20" t="s">
        <v>615</v>
      </c>
      <c r="G156" s="11" t="s">
        <v>615</v>
      </c>
      <c r="H156" s="136"/>
      <c r="I156" s="140"/>
      <c r="J156" s="136"/>
      <c r="K156" s="136"/>
      <c r="L156" s="139"/>
      <c r="M156" s="139"/>
      <c r="N156" s="136"/>
      <c r="O156" s="29">
        <f>0.25+0.5</f>
        <v>0.75</v>
      </c>
      <c r="P156" s="136">
        <f>O156*$P$2</f>
        <v>54</v>
      </c>
      <c r="Q156" s="140"/>
      <c r="R156" s="136"/>
      <c r="S156" s="136"/>
      <c r="T156" s="136"/>
      <c r="U156" s="136">
        <f t="shared" si="38"/>
        <v>54</v>
      </c>
    </row>
    <row r="157" spans="1:21" ht="15" hidden="1" outlineLevel="2">
      <c r="A157" s="36" t="s">
        <v>656</v>
      </c>
      <c r="B157" s="11" t="str">
        <f t="shared" si="39"/>
        <v>DCJ</v>
      </c>
      <c r="C157" s="11" t="str">
        <f t="shared" si="39"/>
        <v>ACJ SANCTIONS &amp; SERVICES</v>
      </c>
      <c r="D157" s="13">
        <f t="shared" si="39"/>
        <v>505501</v>
      </c>
      <c r="E157" s="27" t="str">
        <f t="shared" si="39"/>
        <v>50-10</v>
      </c>
      <c r="F157" s="20" t="s">
        <v>683</v>
      </c>
      <c r="G157" s="11" t="s">
        <v>683</v>
      </c>
      <c r="H157" s="136"/>
      <c r="I157" s="140"/>
      <c r="J157" s="136"/>
      <c r="K157" s="136"/>
      <c r="L157" s="139"/>
      <c r="M157" s="139"/>
      <c r="N157" s="136"/>
      <c r="O157" s="34"/>
      <c r="P157" s="136"/>
      <c r="Q157" s="140"/>
      <c r="R157" s="136"/>
      <c r="S157" s="136"/>
      <c r="T157" s="150">
        <v>5.19</v>
      </c>
      <c r="U157" s="136">
        <f t="shared" si="38"/>
        <v>5.19</v>
      </c>
    </row>
    <row r="158" spans="1:21" s="5" customFormat="1" ht="15.75" outlineLevel="1" collapsed="1">
      <c r="A158" s="64" t="s">
        <v>820</v>
      </c>
      <c r="B158" s="45"/>
      <c r="C158" s="45"/>
      <c r="D158" s="61"/>
      <c r="E158" s="52"/>
      <c r="F158" s="51"/>
      <c r="G158" s="45"/>
      <c r="H158" s="137">
        <f aca="true" t="shared" si="40" ref="H158:U158">SUBTOTAL(9,H149:H157)</f>
        <v>441.229908</v>
      </c>
      <c r="I158" s="167">
        <f t="shared" si="40"/>
        <v>1183</v>
      </c>
      <c r="J158" s="137">
        <f t="shared" si="40"/>
        <v>77.3</v>
      </c>
      <c r="K158" s="137">
        <f t="shared" si="40"/>
        <v>180</v>
      </c>
      <c r="L158" s="141">
        <f t="shared" si="40"/>
        <v>4</v>
      </c>
      <c r="M158" s="141">
        <f t="shared" si="40"/>
        <v>0.083</v>
      </c>
      <c r="N158" s="137">
        <f t="shared" si="40"/>
        <v>1040.8200000000002</v>
      </c>
      <c r="O158" s="65">
        <f t="shared" si="40"/>
        <v>0.75</v>
      </c>
      <c r="P158" s="137">
        <f t="shared" si="40"/>
        <v>54</v>
      </c>
      <c r="Q158" s="167">
        <f t="shared" si="40"/>
        <v>0</v>
      </c>
      <c r="R158" s="137">
        <f t="shared" si="40"/>
        <v>0</v>
      </c>
      <c r="S158" s="137">
        <f t="shared" si="40"/>
        <v>0</v>
      </c>
      <c r="T158" s="137">
        <f t="shared" si="40"/>
        <v>5.19</v>
      </c>
      <c r="U158" s="137">
        <f t="shared" si="40"/>
        <v>1798.5399080000002</v>
      </c>
    </row>
    <row r="159" spans="1:21" ht="15" hidden="1" outlineLevel="2">
      <c r="A159" s="6" t="s">
        <v>266</v>
      </c>
      <c r="B159" s="7" t="s">
        <v>147</v>
      </c>
      <c r="C159" s="7" t="s">
        <v>235</v>
      </c>
      <c r="D159" s="8" t="s">
        <v>267</v>
      </c>
      <c r="E159" s="42" t="s">
        <v>202</v>
      </c>
      <c r="F159" s="39" t="s">
        <v>53</v>
      </c>
      <c r="G159" s="24" t="s">
        <v>62</v>
      </c>
      <c r="H159" s="136">
        <v>206.3078555999999</v>
      </c>
      <c r="I159" s="149">
        <v>623</v>
      </c>
      <c r="J159" s="136">
        <f>I159*$J$1</f>
        <v>62.300000000000004</v>
      </c>
      <c r="K159" s="136">
        <v>60</v>
      </c>
      <c r="L159" s="139"/>
      <c r="M159" s="139"/>
      <c r="N159" s="136"/>
      <c r="O159" s="11"/>
      <c r="P159" s="136"/>
      <c r="Q159" s="140"/>
      <c r="R159" s="136"/>
      <c r="S159" s="136"/>
      <c r="T159" s="136"/>
      <c r="U159" s="136">
        <f aca="true" t="shared" si="41" ref="U159:U164">H159+J159+K159+N159+P159+R159+S159+T159</f>
        <v>328.6078555999999</v>
      </c>
    </row>
    <row r="160" spans="1:21" ht="15" hidden="1" outlineLevel="2">
      <c r="A160" s="6" t="s">
        <v>266</v>
      </c>
      <c r="B160" s="7" t="s">
        <v>147</v>
      </c>
      <c r="C160" s="7" t="s">
        <v>235</v>
      </c>
      <c r="D160" s="8" t="s">
        <v>267</v>
      </c>
      <c r="E160" s="42" t="s">
        <v>202</v>
      </c>
      <c r="F160" s="39" t="s">
        <v>53</v>
      </c>
      <c r="G160" s="24" t="s">
        <v>63</v>
      </c>
      <c r="H160" s="136">
        <v>48.329974</v>
      </c>
      <c r="I160" s="149">
        <v>11</v>
      </c>
      <c r="J160" s="136">
        <f>I160*$J$2</f>
        <v>0.6599999999999999</v>
      </c>
      <c r="K160" s="136">
        <v>0</v>
      </c>
      <c r="L160" s="139"/>
      <c r="M160" s="139"/>
      <c r="N160" s="136"/>
      <c r="O160" s="11"/>
      <c r="P160" s="136"/>
      <c r="Q160" s="140"/>
      <c r="R160" s="136"/>
      <c r="S160" s="136"/>
      <c r="T160" s="136"/>
      <c r="U160" s="136">
        <f t="shared" si="41"/>
        <v>48.989974</v>
      </c>
    </row>
    <row r="161" spans="1:21" ht="15" hidden="1" outlineLevel="2">
      <c r="A161" s="6" t="s">
        <v>266</v>
      </c>
      <c r="B161" s="7" t="s">
        <v>147</v>
      </c>
      <c r="C161" s="7" t="s">
        <v>235</v>
      </c>
      <c r="D161" s="8" t="s">
        <v>267</v>
      </c>
      <c r="E161" s="42" t="s">
        <v>202</v>
      </c>
      <c r="F161" s="39" t="s">
        <v>53</v>
      </c>
      <c r="G161" s="24" t="s">
        <v>64</v>
      </c>
      <c r="H161" s="136">
        <v>27.384189</v>
      </c>
      <c r="I161" s="149">
        <v>34</v>
      </c>
      <c r="J161" s="136">
        <f>I161*$J$2</f>
        <v>2.04</v>
      </c>
      <c r="K161" s="136">
        <v>0</v>
      </c>
      <c r="L161" s="139"/>
      <c r="M161" s="139"/>
      <c r="N161" s="136"/>
      <c r="O161" s="11"/>
      <c r="P161" s="136"/>
      <c r="Q161" s="140"/>
      <c r="R161" s="136"/>
      <c r="S161" s="136"/>
      <c r="T161" s="136"/>
      <c r="U161" s="136">
        <f t="shared" si="41"/>
        <v>29.424189</v>
      </c>
    </row>
    <row r="162" spans="1:21" ht="15" hidden="1" outlineLevel="2">
      <c r="A162" s="6" t="s">
        <v>266</v>
      </c>
      <c r="B162" s="7" t="s">
        <v>147</v>
      </c>
      <c r="C162" s="7" t="s">
        <v>235</v>
      </c>
      <c r="D162" s="8" t="s">
        <v>267</v>
      </c>
      <c r="E162" s="42" t="s">
        <v>202</v>
      </c>
      <c r="F162" s="39" t="s">
        <v>53</v>
      </c>
      <c r="G162" s="24" t="s">
        <v>65</v>
      </c>
      <c r="H162" s="136">
        <v>160.90452419999988</v>
      </c>
      <c r="I162" s="149">
        <v>367</v>
      </c>
      <c r="J162" s="136">
        <f>I162*$J$2</f>
        <v>22.02</v>
      </c>
      <c r="K162" s="136">
        <v>120</v>
      </c>
      <c r="L162" s="139"/>
      <c r="M162" s="139"/>
      <c r="N162" s="136"/>
      <c r="O162" s="11"/>
      <c r="P162" s="136"/>
      <c r="Q162" s="140"/>
      <c r="R162" s="136"/>
      <c r="S162" s="136"/>
      <c r="T162" s="136"/>
      <c r="U162" s="136">
        <f t="shared" si="41"/>
        <v>302.9245241999999</v>
      </c>
    </row>
    <row r="163" spans="1:21" ht="15" hidden="1" outlineLevel="2">
      <c r="A163" s="6" t="s">
        <v>266</v>
      </c>
      <c r="B163" s="7" t="s">
        <v>147</v>
      </c>
      <c r="C163" s="7" t="s">
        <v>235</v>
      </c>
      <c r="D163" s="8" t="s">
        <v>267</v>
      </c>
      <c r="E163" s="42" t="s">
        <v>202</v>
      </c>
      <c r="F163" s="39" t="s">
        <v>53</v>
      </c>
      <c r="G163" s="24" t="s">
        <v>66</v>
      </c>
      <c r="H163" s="136">
        <v>11.683501199999998</v>
      </c>
      <c r="I163" s="149">
        <v>12</v>
      </c>
      <c r="J163" s="136">
        <f>I163*$J$2</f>
        <v>0.72</v>
      </c>
      <c r="K163" s="136">
        <v>0</v>
      </c>
      <c r="L163" s="139"/>
      <c r="M163" s="139"/>
      <c r="N163" s="136"/>
      <c r="O163" s="11"/>
      <c r="P163" s="136"/>
      <c r="Q163" s="140"/>
      <c r="R163" s="136"/>
      <c r="S163" s="136"/>
      <c r="T163" s="136"/>
      <c r="U163" s="136">
        <f t="shared" si="41"/>
        <v>12.4035012</v>
      </c>
    </row>
    <row r="164" spans="1:21" ht="15" hidden="1" outlineLevel="2">
      <c r="A164" s="6" t="s">
        <v>266</v>
      </c>
      <c r="B164" s="7" t="s">
        <v>147</v>
      </c>
      <c r="C164" s="7" t="s">
        <v>235</v>
      </c>
      <c r="D164" s="8" t="s">
        <v>267</v>
      </c>
      <c r="E164" s="42" t="s">
        <v>202</v>
      </c>
      <c r="F164" s="39" t="s">
        <v>53</v>
      </c>
      <c r="G164" s="24" t="s">
        <v>90</v>
      </c>
      <c r="H164" s="136">
        <v>0.545272</v>
      </c>
      <c r="I164" s="149">
        <v>2</v>
      </c>
      <c r="J164" s="136">
        <f>I164*$J$2</f>
        <v>0.12</v>
      </c>
      <c r="K164" s="136">
        <v>0</v>
      </c>
      <c r="L164" s="139"/>
      <c r="M164" s="139"/>
      <c r="N164" s="136"/>
      <c r="O164" s="11"/>
      <c r="P164" s="136"/>
      <c r="Q164" s="140"/>
      <c r="R164" s="136"/>
      <c r="S164" s="136"/>
      <c r="T164" s="136"/>
      <c r="U164" s="136">
        <f t="shared" si="41"/>
        <v>0.665272</v>
      </c>
    </row>
    <row r="165" spans="1:21" s="5" customFormat="1" ht="15.75" outlineLevel="1" collapsed="1">
      <c r="A165" s="64" t="s">
        <v>821</v>
      </c>
      <c r="B165" s="45"/>
      <c r="C165" s="45"/>
      <c r="D165" s="61"/>
      <c r="E165" s="52"/>
      <c r="F165" s="51"/>
      <c r="G165" s="45"/>
      <c r="H165" s="137">
        <f aca="true" t="shared" si="42" ref="H165:U165">SUBTOTAL(9,H159:H164)</f>
        <v>455.1553159999998</v>
      </c>
      <c r="I165" s="167">
        <f t="shared" si="42"/>
        <v>1049</v>
      </c>
      <c r="J165" s="137">
        <f t="shared" si="42"/>
        <v>87.86</v>
      </c>
      <c r="K165" s="137">
        <f t="shared" si="42"/>
        <v>180</v>
      </c>
      <c r="L165" s="141">
        <f t="shared" si="42"/>
        <v>0</v>
      </c>
      <c r="M165" s="141">
        <f t="shared" si="42"/>
        <v>0</v>
      </c>
      <c r="N165" s="137">
        <f t="shared" si="42"/>
        <v>0</v>
      </c>
      <c r="O165" s="65">
        <f t="shared" si="42"/>
        <v>0</v>
      </c>
      <c r="P165" s="137">
        <f t="shared" si="42"/>
        <v>0</v>
      </c>
      <c r="Q165" s="167">
        <f t="shared" si="42"/>
        <v>0</v>
      </c>
      <c r="R165" s="137">
        <f t="shared" si="42"/>
        <v>0</v>
      </c>
      <c r="S165" s="137">
        <f t="shared" si="42"/>
        <v>0</v>
      </c>
      <c r="T165" s="137">
        <f t="shared" si="42"/>
        <v>0</v>
      </c>
      <c r="U165" s="137">
        <f t="shared" si="42"/>
        <v>723.0153159999999</v>
      </c>
    </row>
    <row r="166" spans="1:21" ht="15" hidden="1" outlineLevel="2">
      <c r="A166" s="6" t="s">
        <v>268</v>
      </c>
      <c r="B166" s="7" t="s">
        <v>147</v>
      </c>
      <c r="C166" s="7" t="s">
        <v>210</v>
      </c>
      <c r="D166" s="8" t="s">
        <v>269</v>
      </c>
      <c r="E166" s="42" t="s">
        <v>202</v>
      </c>
      <c r="F166" s="39" t="s">
        <v>53</v>
      </c>
      <c r="G166" s="24" t="s">
        <v>62</v>
      </c>
      <c r="H166" s="136">
        <v>4910.777304999997</v>
      </c>
      <c r="I166" s="149">
        <v>14933</v>
      </c>
      <c r="J166" s="136">
        <f>I166*$J$1</f>
        <v>1493.3000000000002</v>
      </c>
      <c r="K166" s="136">
        <v>165</v>
      </c>
      <c r="L166" s="139"/>
      <c r="M166" s="139"/>
      <c r="N166" s="136"/>
      <c r="O166" s="11"/>
      <c r="P166" s="136"/>
      <c r="Q166" s="140"/>
      <c r="R166" s="136"/>
      <c r="S166" s="136"/>
      <c r="T166" s="136"/>
      <c r="U166" s="136">
        <f aca="true" t="shared" si="43" ref="U166:U173">H166+J166+K166+N166+P166+R166+S166+T166</f>
        <v>6569.077304999997</v>
      </c>
    </row>
    <row r="167" spans="1:21" ht="15" hidden="1" outlineLevel="2">
      <c r="A167" s="6" t="s">
        <v>268</v>
      </c>
      <c r="B167" s="7" t="s">
        <v>147</v>
      </c>
      <c r="C167" s="7" t="s">
        <v>210</v>
      </c>
      <c r="D167" s="8" t="s">
        <v>269</v>
      </c>
      <c r="E167" s="42" t="s">
        <v>202</v>
      </c>
      <c r="F167" s="39" t="s">
        <v>53</v>
      </c>
      <c r="G167" s="11" t="s">
        <v>63</v>
      </c>
      <c r="H167" s="136">
        <v>2.6173056</v>
      </c>
      <c r="I167" s="140">
        <v>8</v>
      </c>
      <c r="J167" s="136">
        <f>I167*$J$2</f>
        <v>0.48</v>
      </c>
      <c r="K167" s="136">
        <v>15</v>
      </c>
      <c r="L167" s="139"/>
      <c r="M167" s="139"/>
      <c r="N167" s="136"/>
      <c r="O167" s="11"/>
      <c r="P167" s="136"/>
      <c r="Q167" s="140"/>
      <c r="R167" s="136"/>
      <c r="S167" s="136"/>
      <c r="T167" s="136"/>
      <c r="U167" s="136">
        <f t="shared" si="43"/>
        <v>18.0973056</v>
      </c>
    </row>
    <row r="168" spans="1:21" ht="15" hidden="1" outlineLevel="2">
      <c r="A168" s="6" t="s">
        <v>268</v>
      </c>
      <c r="B168" s="7" t="s">
        <v>147</v>
      </c>
      <c r="C168" s="7" t="s">
        <v>210</v>
      </c>
      <c r="D168" s="8" t="s">
        <v>269</v>
      </c>
      <c r="E168" s="42" t="s">
        <v>202</v>
      </c>
      <c r="F168" s="39" t="s">
        <v>53</v>
      </c>
      <c r="G168" s="11" t="s">
        <v>64</v>
      </c>
      <c r="H168" s="136">
        <v>1.017142</v>
      </c>
      <c r="I168" s="140">
        <v>1</v>
      </c>
      <c r="J168" s="136">
        <f>I168*$J$2</f>
        <v>0.06</v>
      </c>
      <c r="K168" s="136">
        <v>0</v>
      </c>
      <c r="L168" s="139"/>
      <c r="M168" s="139"/>
      <c r="N168" s="136"/>
      <c r="O168" s="11"/>
      <c r="P168" s="136"/>
      <c r="Q168" s="140"/>
      <c r="R168" s="136"/>
      <c r="S168" s="136"/>
      <c r="T168" s="136"/>
      <c r="U168" s="136">
        <f t="shared" si="43"/>
        <v>1.077142</v>
      </c>
    </row>
    <row r="169" spans="1:21" ht="15" hidden="1" outlineLevel="2">
      <c r="A169" s="6" t="s">
        <v>268</v>
      </c>
      <c r="B169" s="7" t="s">
        <v>147</v>
      </c>
      <c r="C169" s="7" t="s">
        <v>210</v>
      </c>
      <c r="D169" s="8" t="s">
        <v>269</v>
      </c>
      <c r="E169" s="42" t="s">
        <v>202</v>
      </c>
      <c r="F169" s="39" t="s">
        <v>53</v>
      </c>
      <c r="G169" s="24" t="s">
        <v>65</v>
      </c>
      <c r="H169" s="136">
        <v>15.3389208</v>
      </c>
      <c r="I169" s="149">
        <v>35</v>
      </c>
      <c r="J169" s="136">
        <f>I169*$J$2</f>
        <v>2.1</v>
      </c>
      <c r="K169" s="136">
        <v>0</v>
      </c>
      <c r="L169" s="139"/>
      <c r="M169" s="139"/>
      <c r="N169" s="136"/>
      <c r="O169" s="11"/>
      <c r="P169" s="136"/>
      <c r="Q169" s="140"/>
      <c r="R169" s="136"/>
      <c r="S169" s="136"/>
      <c r="T169" s="136"/>
      <c r="U169" s="136">
        <f t="shared" si="43"/>
        <v>17.4389208</v>
      </c>
    </row>
    <row r="170" spans="1:21" ht="15" hidden="1" outlineLevel="2">
      <c r="A170" s="6" t="str">
        <f>A169</f>
        <v>M291</v>
      </c>
      <c r="B170" s="11" t="str">
        <f>B169</f>
        <v>DCJ</v>
      </c>
      <c r="C170" s="11" t="str">
        <f>C169</f>
        <v>ACJ</v>
      </c>
      <c r="D170" s="13" t="str">
        <f>D169</f>
        <v>CJ016.ENHANCEDBENCH</v>
      </c>
      <c r="E170" s="24" t="str">
        <f>E169</f>
        <v>50-10</v>
      </c>
      <c r="F170" s="39" t="s">
        <v>585</v>
      </c>
      <c r="G170" s="24" t="s">
        <v>585</v>
      </c>
      <c r="H170" s="136"/>
      <c r="I170" s="149"/>
      <c r="J170" s="136"/>
      <c r="K170" s="136"/>
      <c r="L170" s="139">
        <v>4</v>
      </c>
      <c r="M170" s="139">
        <v>0.083</v>
      </c>
      <c r="N170" s="136">
        <f>L170*M170*$N$2</f>
        <v>1040.8200000000002</v>
      </c>
      <c r="O170" s="11"/>
      <c r="P170" s="136"/>
      <c r="Q170" s="140"/>
      <c r="R170" s="136"/>
      <c r="S170" s="136"/>
      <c r="T170" s="136"/>
      <c r="U170" s="136">
        <f t="shared" si="43"/>
        <v>1040.8200000000002</v>
      </c>
    </row>
    <row r="171" spans="1:21" ht="15" hidden="1" outlineLevel="2">
      <c r="A171" s="28" t="s">
        <v>268</v>
      </c>
      <c r="B171" s="11" t="str">
        <f>B170</f>
        <v>DCJ</v>
      </c>
      <c r="C171" s="11" t="str">
        <f>C170</f>
        <v>ACJ</v>
      </c>
      <c r="D171" s="13" t="str">
        <f>D170</f>
        <v>CJ016.ENHANCEDBENCH</v>
      </c>
      <c r="E171" s="38" t="str">
        <f>E170</f>
        <v>50-10</v>
      </c>
      <c r="F171" s="20" t="s">
        <v>615</v>
      </c>
      <c r="G171" s="11" t="s">
        <v>615</v>
      </c>
      <c r="H171" s="136"/>
      <c r="I171" s="140"/>
      <c r="J171" s="136"/>
      <c r="K171" s="136"/>
      <c r="L171" s="139"/>
      <c r="M171" s="139"/>
      <c r="N171" s="136"/>
      <c r="O171" s="29">
        <f>1.25+0.5</f>
        <v>1.75</v>
      </c>
      <c r="P171" s="136">
        <f>O171*$P$2</f>
        <v>126</v>
      </c>
      <c r="Q171" s="140"/>
      <c r="R171" s="136"/>
      <c r="S171" s="136"/>
      <c r="T171" s="136"/>
      <c r="U171" s="136">
        <f t="shared" si="43"/>
        <v>126</v>
      </c>
    </row>
    <row r="172" spans="1:21" ht="15" hidden="1" outlineLevel="2">
      <c r="A172" s="28" t="s">
        <v>268</v>
      </c>
      <c r="B172" s="11" t="str">
        <f>B170</f>
        <v>DCJ</v>
      </c>
      <c r="C172" s="11" t="str">
        <f>C170</f>
        <v>ACJ</v>
      </c>
      <c r="D172" s="13" t="str">
        <f>D170</f>
        <v>CJ016.ENHANCEDBENCH</v>
      </c>
      <c r="E172" s="38" t="str">
        <f>E170</f>
        <v>50-10</v>
      </c>
      <c r="F172" s="20" t="s">
        <v>53</v>
      </c>
      <c r="G172" s="11" t="s">
        <v>687</v>
      </c>
      <c r="H172" s="136"/>
      <c r="I172" s="140"/>
      <c r="J172" s="136"/>
      <c r="K172" s="136"/>
      <c r="L172" s="139"/>
      <c r="M172" s="139"/>
      <c r="N172" s="136"/>
      <c r="O172" s="29"/>
      <c r="P172" s="136"/>
      <c r="Q172" s="140"/>
      <c r="R172" s="136">
        <v>657.58</v>
      </c>
      <c r="S172" s="136"/>
      <c r="T172" s="136"/>
      <c r="U172" s="136">
        <f t="shared" si="43"/>
        <v>657.58</v>
      </c>
    </row>
    <row r="173" spans="1:21" ht="15" hidden="1" outlineLevel="2">
      <c r="A173" s="28" t="s">
        <v>268</v>
      </c>
      <c r="B173" s="11" t="str">
        <f>B170</f>
        <v>DCJ</v>
      </c>
      <c r="C173" s="11" t="str">
        <f>C170</f>
        <v>ACJ</v>
      </c>
      <c r="D173" s="13" t="str">
        <f>D170</f>
        <v>CJ016.ENHANCEDBENCH</v>
      </c>
      <c r="E173" s="38" t="str">
        <f>E170</f>
        <v>50-10</v>
      </c>
      <c r="F173" s="20" t="s">
        <v>584</v>
      </c>
      <c r="G173" s="11" t="s">
        <v>584</v>
      </c>
      <c r="H173" s="136"/>
      <c r="I173" s="140"/>
      <c r="J173" s="136"/>
      <c r="K173" s="136"/>
      <c r="L173" s="139"/>
      <c r="M173" s="139"/>
      <c r="N173" s="136"/>
      <c r="O173" s="29"/>
      <c r="P173" s="136"/>
      <c r="Q173" s="140">
        <f>14339+1790+1803+1785+1840+1804</f>
        <v>23361</v>
      </c>
      <c r="R173" s="136">
        <f>769.58+103+103+103+104+103</f>
        <v>1285.58</v>
      </c>
      <c r="S173" s="136">
        <f>Q173*$S$2</f>
        <v>233.61</v>
      </c>
      <c r="T173" s="136"/>
      <c r="U173" s="136">
        <f t="shared" si="43"/>
        <v>1519.19</v>
      </c>
    </row>
    <row r="174" spans="1:21" s="5" customFormat="1" ht="15.75" outlineLevel="1" collapsed="1">
      <c r="A174" s="64" t="s">
        <v>822</v>
      </c>
      <c r="B174" s="45"/>
      <c r="C174" s="45"/>
      <c r="D174" s="61"/>
      <c r="E174" s="52"/>
      <c r="F174" s="51"/>
      <c r="G174" s="45"/>
      <c r="H174" s="137">
        <f aca="true" t="shared" si="44" ref="H174:U174">SUBTOTAL(9,H166:H173)</f>
        <v>4929.750673399996</v>
      </c>
      <c r="I174" s="167">
        <f t="shared" si="44"/>
        <v>14977</v>
      </c>
      <c r="J174" s="137">
        <f t="shared" si="44"/>
        <v>1495.94</v>
      </c>
      <c r="K174" s="137">
        <f t="shared" si="44"/>
        <v>180</v>
      </c>
      <c r="L174" s="141">
        <f t="shared" si="44"/>
        <v>4</v>
      </c>
      <c r="M174" s="141">
        <f t="shared" si="44"/>
        <v>0.083</v>
      </c>
      <c r="N174" s="137">
        <f t="shared" si="44"/>
        <v>1040.8200000000002</v>
      </c>
      <c r="O174" s="65">
        <f t="shared" si="44"/>
        <v>1.75</v>
      </c>
      <c r="P174" s="137">
        <f t="shared" si="44"/>
        <v>126</v>
      </c>
      <c r="Q174" s="167">
        <f t="shared" si="44"/>
        <v>23361</v>
      </c>
      <c r="R174" s="137">
        <f t="shared" si="44"/>
        <v>1943.1599999999999</v>
      </c>
      <c r="S174" s="137">
        <f t="shared" si="44"/>
        <v>233.61</v>
      </c>
      <c r="T174" s="137">
        <f t="shared" si="44"/>
        <v>0</v>
      </c>
      <c r="U174" s="137">
        <f t="shared" si="44"/>
        <v>9949.280673399999</v>
      </c>
    </row>
    <row r="175" spans="1:21" ht="15" hidden="1" outlineLevel="2">
      <c r="A175" s="9" t="s">
        <v>19</v>
      </c>
      <c r="B175" s="25" t="s">
        <v>147</v>
      </c>
      <c r="C175" s="16" t="s">
        <v>593</v>
      </c>
      <c r="D175" s="13" t="s">
        <v>201</v>
      </c>
      <c r="E175" s="27" t="s">
        <v>202</v>
      </c>
      <c r="F175" s="20" t="s">
        <v>585</v>
      </c>
      <c r="G175" s="27" t="s">
        <v>585</v>
      </c>
      <c r="H175" s="136"/>
      <c r="I175" s="140"/>
      <c r="J175" s="136"/>
      <c r="K175" s="136"/>
      <c r="L175" s="139">
        <v>2</v>
      </c>
      <c r="M175" s="139">
        <v>0.1</v>
      </c>
      <c r="N175" s="136">
        <f>L175*M175*$N$2</f>
        <v>627</v>
      </c>
      <c r="O175" s="11"/>
      <c r="P175" s="136"/>
      <c r="Q175" s="140"/>
      <c r="R175" s="136"/>
      <c r="S175" s="136"/>
      <c r="T175" s="136"/>
      <c r="U175" s="136">
        <f>H175+J175+K175+N175+P175+R175+S175+T175</f>
        <v>627</v>
      </c>
    </row>
    <row r="176" spans="1:21" s="5" customFormat="1" ht="15.75" outlineLevel="1" collapsed="1">
      <c r="A176" s="64" t="s">
        <v>823</v>
      </c>
      <c r="B176" s="45"/>
      <c r="C176" s="45"/>
      <c r="D176" s="61"/>
      <c r="E176" s="52"/>
      <c r="F176" s="51"/>
      <c r="G176" s="45"/>
      <c r="H176" s="137">
        <f aca="true" t="shared" si="45" ref="H176:U176">SUBTOTAL(9,H175:H175)</f>
        <v>0</v>
      </c>
      <c r="I176" s="167">
        <f t="shared" si="45"/>
        <v>0</v>
      </c>
      <c r="J176" s="137">
        <f t="shared" si="45"/>
        <v>0</v>
      </c>
      <c r="K176" s="137">
        <f t="shared" si="45"/>
        <v>0</v>
      </c>
      <c r="L176" s="141">
        <f t="shared" si="45"/>
        <v>2</v>
      </c>
      <c r="M176" s="141">
        <f t="shared" si="45"/>
        <v>0.1</v>
      </c>
      <c r="N176" s="137">
        <f t="shared" si="45"/>
        <v>627</v>
      </c>
      <c r="O176" s="65">
        <f t="shared" si="45"/>
        <v>0</v>
      </c>
      <c r="P176" s="137">
        <f t="shared" si="45"/>
        <v>0</v>
      </c>
      <c r="Q176" s="167">
        <f t="shared" si="45"/>
        <v>0</v>
      </c>
      <c r="R176" s="137">
        <f t="shared" si="45"/>
        <v>0</v>
      </c>
      <c r="S176" s="137">
        <f t="shared" si="45"/>
        <v>0</v>
      </c>
      <c r="T176" s="137">
        <f t="shared" si="45"/>
        <v>0</v>
      </c>
      <c r="U176" s="137">
        <f t="shared" si="45"/>
        <v>627</v>
      </c>
    </row>
    <row r="177" spans="1:21" ht="15" hidden="1" outlineLevel="2">
      <c r="A177" s="28" t="s">
        <v>613</v>
      </c>
      <c r="B177" s="11" t="str">
        <f>B175</f>
        <v>DCJ</v>
      </c>
      <c r="C177" s="11" t="str">
        <f>C175</f>
        <v>ADULT COMMUNITY JUSTICE</v>
      </c>
      <c r="D177" s="13" t="str">
        <f>D175</f>
        <v>CJ045.DOC.SUP.FEL.CI</v>
      </c>
      <c r="E177" s="38" t="str">
        <f>E175</f>
        <v>50-10</v>
      </c>
      <c r="F177" s="20" t="s">
        <v>615</v>
      </c>
      <c r="G177" s="11" t="s">
        <v>615</v>
      </c>
      <c r="H177" s="136"/>
      <c r="I177" s="140"/>
      <c r="J177" s="136"/>
      <c r="K177" s="136"/>
      <c r="L177" s="139"/>
      <c r="M177" s="139"/>
      <c r="N177" s="136"/>
      <c r="O177" s="29">
        <v>3.25</v>
      </c>
      <c r="P177" s="136">
        <f>O177*$P$2</f>
        <v>234</v>
      </c>
      <c r="Q177" s="140"/>
      <c r="R177" s="136"/>
      <c r="S177" s="136"/>
      <c r="T177" s="136"/>
      <c r="U177" s="136">
        <f>H177+J177+K177+N177+P177+R177+S177+T177</f>
        <v>234</v>
      </c>
    </row>
    <row r="178" spans="1:21" s="5" customFormat="1" ht="15.75" outlineLevel="1" collapsed="1">
      <c r="A178" s="64" t="s">
        <v>824</v>
      </c>
      <c r="B178" s="45"/>
      <c r="C178" s="45"/>
      <c r="D178" s="61"/>
      <c r="E178" s="52"/>
      <c r="F178" s="51"/>
      <c r="G178" s="45"/>
      <c r="H178" s="137">
        <f aca="true" t="shared" si="46" ref="H178:U178">SUBTOTAL(9,H177:H177)</f>
        <v>0</v>
      </c>
      <c r="I178" s="167">
        <f t="shared" si="46"/>
        <v>0</v>
      </c>
      <c r="J178" s="137">
        <f t="shared" si="46"/>
        <v>0</v>
      </c>
      <c r="K178" s="137">
        <f t="shared" si="46"/>
        <v>0</v>
      </c>
      <c r="L178" s="141">
        <f t="shared" si="46"/>
        <v>0</v>
      </c>
      <c r="M178" s="141">
        <f t="shared" si="46"/>
        <v>0</v>
      </c>
      <c r="N178" s="137">
        <f t="shared" si="46"/>
        <v>0</v>
      </c>
      <c r="O178" s="65">
        <f t="shared" si="46"/>
        <v>3.25</v>
      </c>
      <c r="P178" s="137">
        <f t="shared" si="46"/>
        <v>234</v>
      </c>
      <c r="Q178" s="167">
        <f t="shared" si="46"/>
        <v>0</v>
      </c>
      <c r="R178" s="137">
        <f t="shared" si="46"/>
        <v>0</v>
      </c>
      <c r="S178" s="137">
        <f t="shared" si="46"/>
        <v>0</v>
      </c>
      <c r="T178" s="137">
        <f t="shared" si="46"/>
        <v>0</v>
      </c>
      <c r="U178" s="137">
        <f t="shared" si="46"/>
        <v>234</v>
      </c>
    </row>
    <row r="179" spans="1:21" ht="15" hidden="1" outlineLevel="2">
      <c r="A179" s="6" t="s">
        <v>514</v>
      </c>
      <c r="B179" s="7" t="s">
        <v>147</v>
      </c>
      <c r="C179" s="7" t="s">
        <v>235</v>
      </c>
      <c r="D179" s="8" t="s">
        <v>515</v>
      </c>
      <c r="E179" s="42" t="s">
        <v>202</v>
      </c>
      <c r="F179" s="39" t="s">
        <v>53</v>
      </c>
      <c r="G179" s="24" t="s">
        <v>62</v>
      </c>
      <c r="H179" s="136">
        <v>6.2161007999999995</v>
      </c>
      <c r="I179" s="149">
        <v>19</v>
      </c>
      <c r="J179" s="136">
        <f>I179*$J$1</f>
        <v>1.9000000000000001</v>
      </c>
      <c r="K179" s="136">
        <v>0</v>
      </c>
      <c r="L179" s="139"/>
      <c r="M179" s="139"/>
      <c r="N179" s="136"/>
      <c r="O179" s="11"/>
      <c r="P179" s="136"/>
      <c r="Q179" s="140"/>
      <c r="R179" s="136"/>
      <c r="S179" s="136"/>
      <c r="T179" s="136"/>
      <c r="U179" s="136">
        <f aca="true" t="shared" si="47" ref="U179:U187">H179+J179+K179+N179+P179+R179+S179+T179</f>
        <v>8.1161008</v>
      </c>
    </row>
    <row r="180" spans="1:21" ht="15" hidden="1" outlineLevel="2">
      <c r="A180" s="6" t="s">
        <v>514</v>
      </c>
      <c r="B180" s="7" t="s">
        <v>147</v>
      </c>
      <c r="C180" s="7" t="s">
        <v>235</v>
      </c>
      <c r="D180" s="8" t="s">
        <v>515</v>
      </c>
      <c r="E180" s="42" t="s">
        <v>202</v>
      </c>
      <c r="F180" s="39" t="s">
        <v>53</v>
      </c>
      <c r="G180" s="24" t="s">
        <v>63</v>
      </c>
      <c r="H180" s="136">
        <v>7.528948</v>
      </c>
      <c r="I180" s="149">
        <v>5</v>
      </c>
      <c r="J180" s="136">
        <f>I180*$J$2</f>
        <v>0.3</v>
      </c>
      <c r="K180" s="136">
        <v>0</v>
      </c>
      <c r="L180" s="139"/>
      <c r="M180" s="139"/>
      <c r="N180" s="136"/>
      <c r="O180" s="11"/>
      <c r="P180" s="136"/>
      <c r="Q180" s="140"/>
      <c r="R180" s="136"/>
      <c r="S180" s="136"/>
      <c r="T180" s="136"/>
      <c r="U180" s="136">
        <f t="shared" si="47"/>
        <v>7.828948</v>
      </c>
    </row>
    <row r="181" spans="1:21" ht="15" hidden="1" outlineLevel="2">
      <c r="A181" s="6" t="s">
        <v>514</v>
      </c>
      <c r="B181" s="7" t="s">
        <v>147</v>
      </c>
      <c r="C181" s="7" t="s">
        <v>235</v>
      </c>
      <c r="D181" s="8" t="s">
        <v>515</v>
      </c>
      <c r="E181" s="42" t="s">
        <v>202</v>
      </c>
      <c r="F181" s="39" t="s">
        <v>53</v>
      </c>
      <c r="G181" s="24" t="s">
        <v>64</v>
      </c>
      <c r="H181" s="136">
        <v>12.289592</v>
      </c>
      <c r="I181" s="149">
        <v>11</v>
      </c>
      <c r="J181" s="136">
        <f>I181*$J$2</f>
        <v>0.6599999999999999</v>
      </c>
      <c r="K181" s="136">
        <v>30</v>
      </c>
      <c r="L181" s="139"/>
      <c r="M181" s="139"/>
      <c r="N181" s="136"/>
      <c r="O181" s="11"/>
      <c r="P181" s="136"/>
      <c r="Q181" s="140"/>
      <c r="R181" s="136"/>
      <c r="S181" s="136"/>
      <c r="T181" s="136"/>
      <c r="U181" s="136">
        <f t="shared" si="47"/>
        <v>42.949592</v>
      </c>
    </row>
    <row r="182" spans="1:21" ht="15" hidden="1" outlineLevel="2">
      <c r="A182" s="6" t="s">
        <v>514</v>
      </c>
      <c r="B182" s="7" t="s">
        <v>147</v>
      </c>
      <c r="C182" s="7" t="s">
        <v>235</v>
      </c>
      <c r="D182" s="8" t="s">
        <v>515</v>
      </c>
      <c r="E182" s="42" t="s">
        <v>202</v>
      </c>
      <c r="F182" s="39" t="s">
        <v>53</v>
      </c>
      <c r="G182" s="24" t="s">
        <v>65</v>
      </c>
      <c r="H182" s="136">
        <v>35.872606</v>
      </c>
      <c r="I182" s="149">
        <v>74</v>
      </c>
      <c r="J182" s="136">
        <f>I182*$J$2</f>
        <v>4.4399999999999995</v>
      </c>
      <c r="K182" s="136">
        <v>150</v>
      </c>
      <c r="L182" s="139"/>
      <c r="M182" s="139"/>
      <c r="N182" s="136"/>
      <c r="O182" s="11"/>
      <c r="P182" s="136"/>
      <c r="Q182" s="140"/>
      <c r="R182" s="136"/>
      <c r="S182" s="136"/>
      <c r="T182" s="136"/>
      <c r="U182" s="136">
        <f t="shared" si="47"/>
        <v>190.312606</v>
      </c>
    </row>
    <row r="183" spans="1:21" ht="15" hidden="1" outlineLevel="2">
      <c r="A183" s="6" t="s">
        <v>514</v>
      </c>
      <c r="B183" s="7" t="s">
        <v>147</v>
      </c>
      <c r="C183" s="7" t="s">
        <v>235</v>
      </c>
      <c r="D183" s="8" t="s">
        <v>515</v>
      </c>
      <c r="E183" s="42" t="s">
        <v>202</v>
      </c>
      <c r="F183" s="39" t="s">
        <v>53</v>
      </c>
      <c r="G183" s="24" t="s">
        <v>66</v>
      </c>
      <c r="H183" s="136">
        <v>5.3394712</v>
      </c>
      <c r="I183" s="149">
        <v>6</v>
      </c>
      <c r="J183" s="136">
        <f>I183*$J$2</f>
        <v>0.36</v>
      </c>
      <c r="K183" s="136">
        <v>0</v>
      </c>
      <c r="L183" s="139"/>
      <c r="M183" s="139"/>
      <c r="N183" s="136"/>
      <c r="O183" s="11"/>
      <c r="P183" s="136"/>
      <c r="Q183" s="140"/>
      <c r="R183" s="136"/>
      <c r="S183" s="136"/>
      <c r="T183" s="136"/>
      <c r="U183" s="136">
        <f t="shared" si="47"/>
        <v>5.6994712000000005</v>
      </c>
    </row>
    <row r="184" spans="1:21" ht="15" hidden="1" outlineLevel="2">
      <c r="A184" s="6" t="s">
        <v>514</v>
      </c>
      <c r="B184" s="7" t="s">
        <v>147</v>
      </c>
      <c r="C184" s="7" t="s">
        <v>235</v>
      </c>
      <c r="D184" s="8" t="s">
        <v>515</v>
      </c>
      <c r="E184" s="42" t="s">
        <v>202</v>
      </c>
      <c r="F184" s="39" t="s">
        <v>53</v>
      </c>
      <c r="G184" s="11" t="s">
        <v>90</v>
      </c>
      <c r="H184" s="136">
        <v>2.453724</v>
      </c>
      <c r="I184" s="140">
        <v>9</v>
      </c>
      <c r="J184" s="136">
        <f>I184*$J$2</f>
        <v>0.54</v>
      </c>
      <c r="K184" s="136">
        <v>0</v>
      </c>
      <c r="L184" s="139"/>
      <c r="M184" s="139"/>
      <c r="N184" s="136"/>
      <c r="O184" s="11"/>
      <c r="P184" s="136"/>
      <c r="Q184" s="140"/>
      <c r="R184" s="136"/>
      <c r="S184" s="136"/>
      <c r="T184" s="136"/>
      <c r="U184" s="136">
        <f t="shared" si="47"/>
        <v>2.993724</v>
      </c>
    </row>
    <row r="185" spans="1:21" ht="15" hidden="1" outlineLevel="2">
      <c r="A185" s="6" t="str">
        <f>A184</f>
        <v>M804</v>
      </c>
      <c r="B185" s="11" t="str">
        <f>B184</f>
        <v>DCJ</v>
      </c>
      <c r="C185" s="11" t="str">
        <f>C184</f>
        <v>ACJ SANCTIONS &amp; SERVICES</v>
      </c>
      <c r="D185" s="13" t="str">
        <f>D184</f>
        <v>CJ045.DOC.DRC</v>
      </c>
      <c r="E185" s="24" t="str">
        <f>E184</f>
        <v>50-10</v>
      </c>
      <c r="F185" s="39" t="s">
        <v>585</v>
      </c>
      <c r="G185" s="24" t="s">
        <v>585</v>
      </c>
      <c r="H185" s="136"/>
      <c r="I185" s="140"/>
      <c r="J185" s="136"/>
      <c r="K185" s="136"/>
      <c r="L185" s="139">
        <v>4</v>
      </c>
      <c r="M185" s="139">
        <v>0.083</v>
      </c>
      <c r="N185" s="136">
        <f>L185*M185*$N$2</f>
        <v>1040.8200000000002</v>
      </c>
      <c r="O185" s="11"/>
      <c r="P185" s="136"/>
      <c r="Q185" s="140"/>
      <c r="R185" s="136"/>
      <c r="S185" s="136"/>
      <c r="T185" s="136"/>
      <c r="U185" s="136">
        <f t="shared" si="47"/>
        <v>1040.8200000000002</v>
      </c>
    </row>
    <row r="186" spans="1:21" ht="15" hidden="1" outlineLevel="2">
      <c r="A186" s="28" t="s">
        <v>514</v>
      </c>
      <c r="B186" s="11" t="str">
        <f>B185</f>
        <v>DCJ</v>
      </c>
      <c r="C186" s="11" t="str">
        <f>C185</f>
        <v>ACJ SANCTIONS &amp; SERVICES</v>
      </c>
      <c r="D186" s="13" t="str">
        <f>D185</f>
        <v>CJ045.DOC.DRC</v>
      </c>
      <c r="E186" s="38" t="str">
        <f>E185</f>
        <v>50-10</v>
      </c>
      <c r="F186" s="20" t="s">
        <v>615</v>
      </c>
      <c r="G186" s="11" t="s">
        <v>615</v>
      </c>
      <c r="H186" s="136"/>
      <c r="I186" s="140"/>
      <c r="J186" s="136"/>
      <c r="K186" s="136"/>
      <c r="L186" s="139"/>
      <c r="M186" s="139"/>
      <c r="N186" s="136"/>
      <c r="O186" s="29">
        <v>1</v>
      </c>
      <c r="P186" s="136">
        <f>O186*$P$2</f>
        <v>72</v>
      </c>
      <c r="Q186" s="140"/>
      <c r="R186" s="136"/>
      <c r="S186" s="136"/>
      <c r="T186" s="136"/>
      <c r="U186" s="136">
        <f t="shared" si="47"/>
        <v>72</v>
      </c>
    </row>
    <row r="187" spans="1:21" ht="15" hidden="1" outlineLevel="2">
      <c r="A187" s="28" t="s">
        <v>514</v>
      </c>
      <c r="B187" s="11" t="str">
        <f>B185</f>
        <v>DCJ</v>
      </c>
      <c r="C187" s="11" t="str">
        <f>C185</f>
        <v>ACJ SANCTIONS &amp; SERVICES</v>
      </c>
      <c r="D187" s="13" t="str">
        <f>D185</f>
        <v>CJ045.DOC.DRC</v>
      </c>
      <c r="E187" s="38" t="str">
        <f>E185</f>
        <v>50-10</v>
      </c>
      <c r="F187" s="20" t="s">
        <v>53</v>
      </c>
      <c r="G187" s="11" t="s">
        <v>684</v>
      </c>
      <c r="H187" s="136"/>
      <c r="I187" s="140"/>
      <c r="J187" s="136"/>
      <c r="K187" s="136"/>
      <c r="L187" s="139"/>
      <c r="M187" s="139"/>
      <c r="N187" s="136"/>
      <c r="O187" s="29"/>
      <c r="P187" s="136"/>
      <c r="Q187" s="140"/>
      <c r="R187" s="136">
        <v>25.6</v>
      </c>
      <c r="S187" s="136"/>
      <c r="T187" s="136"/>
      <c r="U187" s="136">
        <f t="shared" si="47"/>
        <v>25.6</v>
      </c>
    </row>
    <row r="188" spans="1:21" s="5" customFormat="1" ht="15.75" outlineLevel="1" collapsed="1">
      <c r="A188" s="64" t="s">
        <v>825</v>
      </c>
      <c r="B188" s="45"/>
      <c r="C188" s="45"/>
      <c r="D188" s="61"/>
      <c r="E188" s="52"/>
      <c r="F188" s="51"/>
      <c r="G188" s="45"/>
      <c r="H188" s="137">
        <f aca="true" t="shared" si="48" ref="H188:U188">SUBTOTAL(9,H179:H187)</f>
        <v>69.700442</v>
      </c>
      <c r="I188" s="167">
        <f t="shared" si="48"/>
        <v>124</v>
      </c>
      <c r="J188" s="137">
        <f t="shared" si="48"/>
        <v>8.2</v>
      </c>
      <c r="K188" s="137">
        <f t="shared" si="48"/>
        <v>180</v>
      </c>
      <c r="L188" s="141">
        <f t="shared" si="48"/>
        <v>4</v>
      </c>
      <c r="M188" s="141">
        <f t="shared" si="48"/>
        <v>0.083</v>
      </c>
      <c r="N188" s="137">
        <f t="shared" si="48"/>
        <v>1040.8200000000002</v>
      </c>
      <c r="O188" s="65">
        <f t="shared" si="48"/>
        <v>1</v>
      </c>
      <c r="P188" s="137">
        <f t="shared" si="48"/>
        <v>72</v>
      </c>
      <c r="Q188" s="167">
        <f t="shared" si="48"/>
        <v>0</v>
      </c>
      <c r="R188" s="137">
        <f t="shared" si="48"/>
        <v>25.6</v>
      </c>
      <c r="S188" s="137">
        <f t="shared" si="48"/>
        <v>0</v>
      </c>
      <c r="T188" s="137">
        <f t="shared" si="48"/>
        <v>0</v>
      </c>
      <c r="U188" s="137">
        <f t="shared" si="48"/>
        <v>1396.3204420000002</v>
      </c>
    </row>
    <row r="189" spans="1:21" ht="15" hidden="1" outlineLevel="2">
      <c r="A189" s="6" t="s">
        <v>527</v>
      </c>
      <c r="B189" s="7" t="s">
        <v>147</v>
      </c>
      <c r="C189" s="7" t="s">
        <v>204</v>
      </c>
      <c r="D189" s="8" t="s">
        <v>528</v>
      </c>
      <c r="E189" s="42" t="s">
        <v>202</v>
      </c>
      <c r="F189" s="39" t="s">
        <v>53</v>
      </c>
      <c r="G189" s="24" t="s">
        <v>62</v>
      </c>
      <c r="H189" s="136">
        <v>139.10937319999996</v>
      </c>
      <c r="I189" s="149">
        <v>412</v>
      </c>
      <c r="J189" s="136">
        <f>I189*$J$1</f>
        <v>41.2</v>
      </c>
      <c r="K189" s="136">
        <v>30</v>
      </c>
      <c r="L189" s="139"/>
      <c r="M189" s="139"/>
      <c r="N189" s="136"/>
      <c r="O189" s="11"/>
      <c r="P189" s="136"/>
      <c r="Q189" s="140"/>
      <c r="R189" s="136"/>
      <c r="S189" s="136"/>
      <c r="T189" s="136"/>
      <c r="U189" s="136">
        <f aca="true" t="shared" si="49" ref="U189:U195">H189+J189+K189+N189+P189+R189+S189+T189</f>
        <v>210.30937319999998</v>
      </c>
    </row>
    <row r="190" spans="1:21" ht="15" hidden="1" outlineLevel="2">
      <c r="A190" s="6" t="s">
        <v>527</v>
      </c>
      <c r="B190" s="7" t="s">
        <v>147</v>
      </c>
      <c r="C190" s="7" t="s">
        <v>204</v>
      </c>
      <c r="D190" s="8" t="s">
        <v>528</v>
      </c>
      <c r="E190" s="42" t="s">
        <v>202</v>
      </c>
      <c r="F190" s="39" t="s">
        <v>53</v>
      </c>
      <c r="G190" s="24" t="s">
        <v>63</v>
      </c>
      <c r="H190" s="136">
        <v>111.403264</v>
      </c>
      <c r="I190" s="149">
        <v>37</v>
      </c>
      <c r="J190" s="136">
        <f>I190*$J$2</f>
        <v>2.2199999999999998</v>
      </c>
      <c r="K190" s="136">
        <v>0</v>
      </c>
      <c r="L190" s="139"/>
      <c r="M190" s="139"/>
      <c r="N190" s="136"/>
      <c r="O190" s="11"/>
      <c r="P190" s="136"/>
      <c r="Q190" s="140"/>
      <c r="R190" s="136"/>
      <c r="S190" s="136"/>
      <c r="T190" s="136"/>
      <c r="U190" s="136">
        <f t="shared" si="49"/>
        <v>113.62326399999999</v>
      </c>
    </row>
    <row r="191" spans="1:21" ht="15" hidden="1" outlineLevel="2">
      <c r="A191" s="6" t="s">
        <v>527</v>
      </c>
      <c r="B191" s="7" t="s">
        <v>147</v>
      </c>
      <c r="C191" s="7" t="s">
        <v>204</v>
      </c>
      <c r="D191" s="8" t="s">
        <v>528</v>
      </c>
      <c r="E191" s="42" t="s">
        <v>202</v>
      </c>
      <c r="F191" s="39" t="s">
        <v>53</v>
      </c>
      <c r="G191" s="24" t="s">
        <v>64</v>
      </c>
      <c r="H191" s="136">
        <v>130.7205732</v>
      </c>
      <c r="I191" s="149">
        <v>78</v>
      </c>
      <c r="J191" s="136">
        <f>I191*$J$2</f>
        <v>4.68</v>
      </c>
      <c r="K191" s="136">
        <v>45</v>
      </c>
      <c r="L191" s="139"/>
      <c r="M191" s="139"/>
      <c r="N191" s="136"/>
      <c r="O191" s="11"/>
      <c r="P191" s="136"/>
      <c r="Q191" s="140"/>
      <c r="R191" s="136"/>
      <c r="S191" s="136"/>
      <c r="T191" s="136"/>
      <c r="U191" s="136">
        <f t="shared" si="49"/>
        <v>180.4005732</v>
      </c>
    </row>
    <row r="192" spans="1:21" ht="15" hidden="1" outlineLevel="2">
      <c r="A192" s="6" t="s">
        <v>527</v>
      </c>
      <c r="B192" s="7" t="s">
        <v>147</v>
      </c>
      <c r="C192" s="7" t="s">
        <v>204</v>
      </c>
      <c r="D192" s="8" t="s">
        <v>528</v>
      </c>
      <c r="E192" s="42" t="s">
        <v>202</v>
      </c>
      <c r="F192" s="39" t="s">
        <v>53</v>
      </c>
      <c r="G192" s="24" t="s">
        <v>65</v>
      </c>
      <c r="H192" s="136">
        <v>166.36877879999983</v>
      </c>
      <c r="I192" s="149">
        <v>370</v>
      </c>
      <c r="J192" s="136">
        <f>I192*$J$2</f>
        <v>22.2</v>
      </c>
      <c r="K192" s="136">
        <v>90</v>
      </c>
      <c r="L192" s="139"/>
      <c r="M192" s="139"/>
      <c r="N192" s="136"/>
      <c r="O192" s="11"/>
      <c r="P192" s="136"/>
      <c r="Q192" s="140"/>
      <c r="R192" s="136"/>
      <c r="S192" s="136"/>
      <c r="T192" s="136"/>
      <c r="U192" s="136">
        <f t="shared" si="49"/>
        <v>278.5687787999998</v>
      </c>
    </row>
    <row r="193" spans="1:21" ht="15" hidden="1" outlineLevel="2">
      <c r="A193" s="6" t="s">
        <v>527</v>
      </c>
      <c r="B193" s="7" t="s">
        <v>147</v>
      </c>
      <c r="C193" s="7" t="s">
        <v>204</v>
      </c>
      <c r="D193" s="8" t="s">
        <v>528</v>
      </c>
      <c r="E193" s="42" t="s">
        <v>202</v>
      </c>
      <c r="F193" s="39" t="s">
        <v>53</v>
      </c>
      <c r="G193" s="24" t="s">
        <v>66</v>
      </c>
      <c r="H193" s="136">
        <v>19.4892796</v>
      </c>
      <c r="I193" s="149">
        <v>18</v>
      </c>
      <c r="J193" s="136">
        <f>I193*$J$2</f>
        <v>1.08</v>
      </c>
      <c r="K193" s="136">
        <v>15</v>
      </c>
      <c r="L193" s="139"/>
      <c r="M193" s="139"/>
      <c r="N193" s="136"/>
      <c r="O193" s="11"/>
      <c r="P193" s="136"/>
      <c r="Q193" s="140"/>
      <c r="R193" s="136"/>
      <c r="S193" s="136"/>
      <c r="T193" s="136"/>
      <c r="U193" s="136">
        <f t="shared" si="49"/>
        <v>35.5692796</v>
      </c>
    </row>
    <row r="194" spans="1:21" ht="15" hidden="1" outlineLevel="2">
      <c r="A194" s="6" t="str">
        <f>A193</f>
        <v>M861</v>
      </c>
      <c r="B194" s="11" t="str">
        <f>B193</f>
        <v>DCJ</v>
      </c>
      <c r="C194" s="11" t="str">
        <f>C193</f>
        <v>ACJ EAST-SE DISTRICT</v>
      </c>
      <c r="D194" s="13" t="str">
        <f>D193</f>
        <v>CJ045.DOC.SUP.FEL.GRESHM  </v>
      </c>
      <c r="E194" s="24" t="str">
        <f>E193</f>
        <v>50-10</v>
      </c>
      <c r="F194" s="39" t="s">
        <v>585</v>
      </c>
      <c r="G194" s="24" t="s">
        <v>585</v>
      </c>
      <c r="H194" s="136"/>
      <c r="I194" s="149"/>
      <c r="J194" s="136"/>
      <c r="K194" s="136"/>
      <c r="L194" s="139">
        <v>1</v>
      </c>
      <c r="M194" s="139">
        <v>1</v>
      </c>
      <c r="N194" s="136">
        <f>L194*M194*$N$2</f>
        <v>3135</v>
      </c>
      <c r="O194" s="11"/>
      <c r="P194" s="136"/>
      <c r="Q194" s="140"/>
      <c r="R194" s="136"/>
      <c r="S194" s="136"/>
      <c r="T194" s="136"/>
      <c r="U194" s="136">
        <f t="shared" si="49"/>
        <v>3135</v>
      </c>
    </row>
    <row r="195" spans="1:21" ht="15" hidden="1" outlineLevel="2">
      <c r="A195" s="36" t="s">
        <v>527</v>
      </c>
      <c r="B195" s="11" t="str">
        <f>B194</f>
        <v>DCJ</v>
      </c>
      <c r="C195" s="11" t="str">
        <f>C194</f>
        <v>ACJ EAST-SE DISTRICT</v>
      </c>
      <c r="D195" s="13" t="str">
        <f>D194</f>
        <v>CJ045.DOC.SUP.FEL.GRESHM  </v>
      </c>
      <c r="E195" s="27" t="str">
        <f>E194</f>
        <v>50-10</v>
      </c>
      <c r="F195" s="20" t="s">
        <v>683</v>
      </c>
      <c r="G195" s="11" t="s">
        <v>683</v>
      </c>
      <c r="H195" s="136"/>
      <c r="I195" s="140"/>
      <c r="J195" s="136"/>
      <c r="K195" s="136"/>
      <c r="L195" s="139"/>
      <c r="M195" s="139"/>
      <c r="N195" s="136"/>
      <c r="O195" s="34"/>
      <c r="P195" s="136"/>
      <c r="Q195" s="140"/>
      <c r="R195" s="136"/>
      <c r="S195" s="136"/>
      <c r="T195" s="150">
        <v>6.64</v>
      </c>
      <c r="U195" s="136">
        <f t="shared" si="49"/>
        <v>6.64</v>
      </c>
    </row>
    <row r="196" spans="1:21" s="5" customFormat="1" ht="15.75" outlineLevel="1" collapsed="1">
      <c r="A196" s="64" t="s">
        <v>826</v>
      </c>
      <c r="B196" s="45"/>
      <c r="C196" s="45"/>
      <c r="D196" s="61"/>
      <c r="E196" s="52"/>
      <c r="F196" s="51"/>
      <c r="G196" s="45"/>
      <c r="H196" s="137">
        <f aca="true" t="shared" si="50" ref="H196:U196">SUBTOTAL(9,H189:H195)</f>
        <v>567.0912687999999</v>
      </c>
      <c r="I196" s="167">
        <f t="shared" si="50"/>
        <v>915</v>
      </c>
      <c r="J196" s="137">
        <f t="shared" si="50"/>
        <v>71.38</v>
      </c>
      <c r="K196" s="137">
        <f t="shared" si="50"/>
        <v>180</v>
      </c>
      <c r="L196" s="141">
        <f t="shared" si="50"/>
        <v>1</v>
      </c>
      <c r="M196" s="141">
        <f t="shared" si="50"/>
        <v>1</v>
      </c>
      <c r="N196" s="137">
        <f t="shared" si="50"/>
        <v>3135</v>
      </c>
      <c r="O196" s="65">
        <f t="shared" si="50"/>
        <v>0</v>
      </c>
      <c r="P196" s="137">
        <f t="shared" si="50"/>
        <v>0</v>
      </c>
      <c r="Q196" s="167">
        <f t="shared" si="50"/>
        <v>0</v>
      </c>
      <c r="R196" s="137">
        <f t="shared" si="50"/>
        <v>0</v>
      </c>
      <c r="S196" s="137">
        <f t="shared" si="50"/>
        <v>0</v>
      </c>
      <c r="T196" s="137">
        <f t="shared" si="50"/>
        <v>6.64</v>
      </c>
      <c r="U196" s="137">
        <f t="shared" si="50"/>
        <v>3960.1112688</v>
      </c>
    </row>
    <row r="197" spans="1:21" ht="15" hidden="1" outlineLevel="2">
      <c r="A197" s="22" t="s">
        <v>616</v>
      </c>
      <c r="B197" s="17" t="s">
        <v>147</v>
      </c>
      <c r="C197" s="17" t="s">
        <v>210</v>
      </c>
      <c r="D197" s="20">
        <v>502800</v>
      </c>
      <c r="E197" s="18" t="s">
        <v>202</v>
      </c>
      <c r="F197" s="39" t="s">
        <v>615</v>
      </c>
      <c r="G197" s="18" t="s">
        <v>615</v>
      </c>
      <c r="H197" s="152"/>
      <c r="I197" s="153"/>
      <c r="J197" s="152"/>
      <c r="K197" s="152"/>
      <c r="L197" s="154"/>
      <c r="M197" s="154"/>
      <c r="N197" s="152"/>
      <c r="O197" s="35">
        <v>0.25</v>
      </c>
      <c r="P197" s="136">
        <f>O197*$P$2</f>
        <v>18</v>
      </c>
      <c r="Q197" s="153"/>
      <c r="R197" s="136"/>
      <c r="S197" s="152"/>
      <c r="T197" s="152"/>
      <c r="U197" s="136">
        <f>H197+J197+K197+N197+P197+R197+S197+T197</f>
        <v>18</v>
      </c>
    </row>
    <row r="198" spans="1:21" s="5" customFormat="1" ht="15.75" outlineLevel="1" collapsed="1">
      <c r="A198" s="64" t="s">
        <v>766</v>
      </c>
      <c r="B198" s="45"/>
      <c r="C198" s="45"/>
      <c r="D198" s="61"/>
      <c r="E198" s="52"/>
      <c r="F198" s="51"/>
      <c r="G198" s="45"/>
      <c r="H198" s="137">
        <f aca="true" t="shared" si="51" ref="H198:U198">SUBTOTAL(9,H197:H197)</f>
        <v>0</v>
      </c>
      <c r="I198" s="167">
        <f t="shared" si="51"/>
        <v>0</v>
      </c>
      <c r="J198" s="137">
        <f t="shared" si="51"/>
        <v>0</v>
      </c>
      <c r="K198" s="137">
        <f t="shared" si="51"/>
        <v>0</v>
      </c>
      <c r="L198" s="141">
        <f t="shared" si="51"/>
        <v>0</v>
      </c>
      <c r="M198" s="141">
        <f t="shared" si="51"/>
        <v>0</v>
      </c>
      <c r="N198" s="137">
        <f t="shared" si="51"/>
        <v>0</v>
      </c>
      <c r="O198" s="65">
        <f t="shared" si="51"/>
        <v>0.25</v>
      </c>
      <c r="P198" s="137">
        <f t="shared" si="51"/>
        <v>18</v>
      </c>
      <c r="Q198" s="167">
        <f t="shared" si="51"/>
        <v>0</v>
      </c>
      <c r="R198" s="137">
        <f t="shared" si="51"/>
        <v>0</v>
      </c>
      <c r="S198" s="137">
        <f t="shared" si="51"/>
        <v>0</v>
      </c>
      <c r="T198" s="137">
        <f t="shared" si="51"/>
        <v>0</v>
      </c>
      <c r="U198" s="137">
        <f t="shared" si="51"/>
        <v>18</v>
      </c>
    </row>
    <row r="199" spans="1:21" s="5" customFormat="1" ht="15.75">
      <c r="A199" s="168" t="s">
        <v>633</v>
      </c>
      <c r="B199" s="155"/>
      <c r="C199" s="155"/>
      <c r="D199" s="51"/>
      <c r="E199" s="48"/>
      <c r="F199" s="47"/>
      <c r="G199" s="48"/>
      <c r="H199" s="156">
        <f aca="true" t="shared" si="52" ref="H199:U199">SUBTOTAL(9,H4:H197)</f>
        <v>40423.21332279997</v>
      </c>
      <c r="I199" s="157">
        <f t="shared" si="52"/>
        <v>102706</v>
      </c>
      <c r="J199" s="156">
        <f t="shared" si="52"/>
        <v>9410.120000000006</v>
      </c>
      <c r="K199" s="156">
        <f t="shared" si="52"/>
        <v>3450</v>
      </c>
      <c r="L199" s="158">
        <f t="shared" si="52"/>
        <v>68</v>
      </c>
      <c r="M199" s="158">
        <f t="shared" si="52"/>
        <v>11.659900000000002</v>
      </c>
      <c r="N199" s="156">
        <f t="shared" si="52"/>
        <v>69452.163</v>
      </c>
      <c r="O199" s="169">
        <f t="shared" si="52"/>
        <v>53.25</v>
      </c>
      <c r="P199" s="137">
        <f t="shared" si="52"/>
        <v>3834</v>
      </c>
      <c r="Q199" s="157">
        <f t="shared" si="52"/>
        <v>88468</v>
      </c>
      <c r="R199" s="137">
        <f t="shared" si="52"/>
        <v>8591.120000000003</v>
      </c>
      <c r="S199" s="156">
        <f t="shared" si="52"/>
        <v>884.6800000000001</v>
      </c>
      <c r="T199" s="156">
        <f t="shared" si="52"/>
        <v>98.61999999999999</v>
      </c>
      <c r="U199" s="137">
        <f t="shared" si="52"/>
        <v>136143.91632280004</v>
      </c>
    </row>
    <row r="289" ht="15"/>
    <row r="290" ht="15"/>
    <row r="291" ht="15"/>
    <row r="292" ht="15"/>
    <row r="293" ht="15"/>
  </sheetData>
  <autoFilter ref="A3:U197"/>
  <printOptions/>
  <pageMargins left="0.25" right="0.25" top="0.25" bottom="0.25" header="0.5" footer="0.5"/>
  <pageSetup fitToHeight="1" fitToWidth="1" horizontalDpi="600" verticalDpi="600" orientation="landscape" paperSize="5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9"/>
  <sheetViews>
    <sheetView zoomScale="80" zoomScaleNormal="80" workbookViewId="0" topLeftCell="A96">
      <selection activeCell="A259" sqref="A259:IV259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hidden="1" outlineLevel="2">
      <c r="A4" s="6" t="s">
        <v>57</v>
      </c>
      <c r="B4" s="7" t="s">
        <v>58</v>
      </c>
      <c r="C4" s="7" t="s">
        <v>59</v>
      </c>
      <c r="D4" s="8" t="s">
        <v>60</v>
      </c>
      <c r="E4" s="38" t="s">
        <v>61</v>
      </c>
      <c r="F4" s="39" t="s">
        <v>53</v>
      </c>
      <c r="G4" s="24" t="s">
        <v>62</v>
      </c>
      <c r="H4" s="136">
        <v>65.5448402</v>
      </c>
      <c r="I4" s="149">
        <v>192</v>
      </c>
      <c r="J4" s="136">
        <f>I4*$J$1</f>
        <v>19.200000000000003</v>
      </c>
      <c r="K4" s="136">
        <v>15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1">H4+J4+K4+N4+P4+R4+S4+T4</f>
        <v>99.7448402</v>
      </c>
    </row>
    <row r="5" spans="1:21" ht="15" hidden="1" outlineLevel="2">
      <c r="A5" s="6" t="s">
        <v>57</v>
      </c>
      <c r="B5" s="7" t="s">
        <v>58</v>
      </c>
      <c r="C5" s="7" t="s">
        <v>59</v>
      </c>
      <c r="D5" s="8" t="s">
        <v>60</v>
      </c>
      <c r="E5" s="38" t="s">
        <v>61</v>
      </c>
      <c r="F5" s="39" t="s">
        <v>53</v>
      </c>
      <c r="G5" s="24" t="s">
        <v>63</v>
      </c>
      <c r="H5" s="136">
        <v>406.8662374</v>
      </c>
      <c r="I5" s="149">
        <v>160</v>
      </c>
      <c r="J5" s="136">
        <f>I5*$J$2</f>
        <v>9.6</v>
      </c>
      <c r="K5" s="136">
        <v>135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551.4662374</v>
      </c>
    </row>
    <row r="6" spans="1:21" s="22" customFormat="1" ht="15" hidden="1" outlineLevel="2">
      <c r="A6" s="6" t="s">
        <v>57</v>
      </c>
      <c r="B6" s="7" t="s">
        <v>58</v>
      </c>
      <c r="C6" s="7" t="s">
        <v>59</v>
      </c>
      <c r="D6" s="8" t="s">
        <v>60</v>
      </c>
      <c r="E6" s="38" t="s">
        <v>61</v>
      </c>
      <c r="F6" s="39" t="s">
        <v>53</v>
      </c>
      <c r="G6" s="24" t="s">
        <v>64</v>
      </c>
      <c r="H6" s="136">
        <v>16.6486222</v>
      </c>
      <c r="I6" s="149">
        <v>15</v>
      </c>
      <c r="J6" s="136">
        <f>I6*$J$2</f>
        <v>0.8999999999999999</v>
      </c>
      <c r="K6" s="136">
        <v>0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17.548622199999997</v>
      </c>
    </row>
    <row r="7" spans="1:21" ht="15" hidden="1" outlineLevel="2">
      <c r="A7" s="6" t="s">
        <v>57</v>
      </c>
      <c r="B7" s="7" t="s">
        <v>58</v>
      </c>
      <c r="C7" s="7" t="s">
        <v>59</v>
      </c>
      <c r="D7" s="8" t="s">
        <v>60</v>
      </c>
      <c r="E7" s="38" t="s">
        <v>61</v>
      </c>
      <c r="F7" s="39" t="s">
        <v>53</v>
      </c>
      <c r="G7" s="24" t="s">
        <v>65</v>
      </c>
      <c r="H7" s="136">
        <v>14.8722938</v>
      </c>
      <c r="I7" s="149">
        <v>32</v>
      </c>
      <c r="J7" s="136">
        <f>I7*$J$2</f>
        <v>1.92</v>
      </c>
      <c r="K7" s="136">
        <v>15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31.7922938</v>
      </c>
    </row>
    <row r="8" spans="1:21" ht="15" hidden="1" outlineLevel="2">
      <c r="A8" s="6" t="s">
        <v>57</v>
      </c>
      <c r="B8" s="7" t="s">
        <v>58</v>
      </c>
      <c r="C8" s="7" t="s">
        <v>59</v>
      </c>
      <c r="D8" s="8" t="s">
        <v>60</v>
      </c>
      <c r="E8" s="38" t="s">
        <v>61</v>
      </c>
      <c r="F8" s="39" t="s">
        <v>53</v>
      </c>
      <c r="G8" s="24" t="s">
        <v>66</v>
      </c>
      <c r="H8" s="136">
        <v>23.924857600000003</v>
      </c>
      <c r="I8" s="149">
        <v>20</v>
      </c>
      <c r="J8" s="136">
        <f>I8*$J$2</f>
        <v>1.2</v>
      </c>
      <c r="K8" s="136">
        <v>15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40.1248576</v>
      </c>
    </row>
    <row r="9" spans="1:21" ht="15" hidden="1" outlineLevel="2">
      <c r="A9" s="6" t="s">
        <v>57</v>
      </c>
      <c r="B9" s="7" t="s">
        <v>58</v>
      </c>
      <c r="C9" s="7" t="s">
        <v>59</v>
      </c>
      <c r="D9" s="8">
        <v>709525</v>
      </c>
      <c r="E9" s="38" t="s">
        <v>61</v>
      </c>
      <c r="F9" s="39" t="s">
        <v>585</v>
      </c>
      <c r="G9" s="16" t="s">
        <v>592</v>
      </c>
      <c r="H9" s="136"/>
      <c r="I9" s="149"/>
      <c r="J9" s="136"/>
      <c r="K9" s="136"/>
      <c r="L9" s="139">
        <v>2</v>
      </c>
      <c r="M9" s="139">
        <v>1</v>
      </c>
      <c r="N9" s="136">
        <f>L9*M9*$N$2</f>
        <v>6270</v>
      </c>
      <c r="O9" s="11"/>
      <c r="P9" s="136"/>
      <c r="Q9" s="140"/>
      <c r="R9" s="136"/>
      <c r="S9" s="136"/>
      <c r="T9" s="136"/>
      <c r="U9" s="136">
        <f t="shared" si="0"/>
        <v>6270</v>
      </c>
    </row>
    <row r="10" spans="1:21" ht="15" hidden="1" outlineLevel="2">
      <c r="A10" s="28" t="s">
        <v>57</v>
      </c>
      <c r="B10" s="11" t="str">
        <f aca="true" t="shared" si="1" ref="B10:E11">B9</f>
        <v>DCM</v>
      </c>
      <c r="C10" s="11" t="str">
        <f t="shared" si="1"/>
        <v>INFORMATION TECHNOLOGY</v>
      </c>
      <c r="D10" s="13">
        <f t="shared" si="1"/>
        <v>709525</v>
      </c>
      <c r="E10" s="38" t="str">
        <f t="shared" si="1"/>
        <v>72-60</v>
      </c>
      <c r="F10" s="20" t="s">
        <v>615</v>
      </c>
      <c r="G10" s="11" t="s">
        <v>615</v>
      </c>
      <c r="H10" s="136"/>
      <c r="I10" s="140"/>
      <c r="J10" s="136"/>
      <c r="K10" s="136"/>
      <c r="L10" s="139"/>
      <c r="M10" s="139"/>
      <c r="N10" s="136"/>
      <c r="O10" s="29">
        <v>2</v>
      </c>
      <c r="P10" s="136">
        <f>O10*$P$2</f>
        <v>144</v>
      </c>
      <c r="Q10" s="140"/>
      <c r="R10" s="136"/>
      <c r="S10" s="136"/>
      <c r="T10" s="136"/>
      <c r="U10" s="136">
        <f t="shared" si="0"/>
        <v>144</v>
      </c>
    </row>
    <row r="11" spans="1:21" ht="15" hidden="1" outlineLevel="2">
      <c r="A11" s="36" t="s">
        <v>634</v>
      </c>
      <c r="B11" s="11" t="str">
        <f t="shared" si="1"/>
        <v>DCM</v>
      </c>
      <c r="C11" s="11" t="str">
        <f t="shared" si="1"/>
        <v>INFORMATION TECHNOLOGY</v>
      </c>
      <c r="D11" s="13">
        <f t="shared" si="1"/>
        <v>709525</v>
      </c>
      <c r="E11" s="27" t="str">
        <f t="shared" si="1"/>
        <v>72-60</v>
      </c>
      <c r="F11" s="20" t="s">
        <v>683</v>
      </c>
      <c r="G11" s="11" t="s">
        <v>683</v>
      </c>
      <c r="H11" s="136"/>
      <c r="I11" s="140"/>
      <c r="J11" s="136"/>
      <c r="K11" s="136"/>
      <c r="L11" s="139"/>
      <c r="M11" s="139"/>
      <c r="N11" s="136"/>
      <c r="O11" s="34"/>
      <c r="P11" s="136"/>
      <c r="Q11" s="140"/>
      <c r="R11" s="136"/>
      <c r="S11" s="136"/>
      <c r="T11" s="150">
        <f>125.72+231.41</f>
        <v>357.13</v>
      </c>
      <c r="U11" s="136">
        <f t="shared" si="0"/>
        <v>357.13</v>
      </c>
    </row>
    <row r="12" spans="1:21" s="5" customFormat="1" ht="15.75" outlineLevel="1" collapsed="1">
      <c r="A12" s="170" t="s">
        <v>827</v>
      </c>
      <c r="B12" s="45"/>
      <c r="C12" s="45"/>
      <c r="D12" s="61"/>
      <c r="E12" s="44"/>
      <c r="F12" s="51"/>
      <c r="G12" s="45"/>
      <c r="H12" s="137">
        <f aca="true" t="shared" si="2" ref="H12:U12">SUBTOTAL(9,H4:H11)</f>
        <v>527.8568512</v>
      </c>
      <c r="I12" s="167">
        <f t="shared" si="2"/>
        <v>419</v>
      </c>
      <c r="J12" s="137">
        <f t="shared" si="2"/>
        <v>32.82000000000001</v>
      </c>
      <c r="K12" s="137">
        <f t="shared" si="2"/>
        <v>180</v>
      </c>
      <c r="L12" s="141">
        <f t="shared" si="2"/>
        <v>2</v>
      </c>
      <c r="M12" s="141">
        <f t="shared" si="2"/>
        <v>1</v>
      </c>
      <c r="N12" s="137">
        <f t="shared" si="2"/>
        <v>6270</v>
      </c>
      <c r="O12" s="46">
        <f t="shared" si="2"/>
        <v>2</v>
      </c>
      <c r="P12" s="137">
        <f t="shared" si="2"/>
        <v>144</v>
      </c>
      <c r="Q12" s="167">
        <f t="shared" si="2"/>
        <v>0</v>
      </c>
      <c r="R12" s="137">
        <f t="shared" si="2"/>
        <v>0</v>
      </c>
      <c r="S12" s="137">
        <f t="shared" si="2"/>
        <v>0</v>
      </c>
      <c r="T12" s="171">
        <f t="shared" si="2"/>
        <v>357.13</v>
      </c>
      <c r="U12" s="137">
        <f t="shared" si="2"/>
        <v>7511.8068512</v>
      </c>
    </row>
    <row r="13" spans="1:21" ht="15" hidden="1" outlineLevel="2">
      <c r="A13" s="6" t="s">
        <v>228</v>
      </c>
      <c r="B13" s="7" t="s">
        <v>58</v>
      </c>
      <c r="C13" s="7" t="s">
        <v>59</v>
      </c>
      <c r="D13" s="8" t="s">
        <v>229</v>
      </c>
      <c r="E13" s="42" t="s">
        <v>61</v>
      </c>
      <c r="F13" s="39" t="s">
        <v>53</v>
      </c>
      <c r="G13" s="24" t="s">
        <v>63</v>
      </c>
      <c r="H13" s="136">
        <v>6.971092799999999</v>
      </c>
      <c r="I13" s="149">
        <v>18</v>
      </c>
      <c r="J13" s="136">
        <f>I13*$J$2</f>
        <v>1.08</v>
      </c>
      <c r="K13" s="136">
        <v>30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>H13+J13+K13+N13+P13+R13+S13+T13</f>
        <v>38.0510928</v>
      </c>
    </row>
    <row r="14" spans="1:21" ht="15" hidden="1" outlineLevel="2">
      <c r="A14" s="6" t="s">
        <v>228</v>
      </c>
      <c r="B14" s="7" t="s">
        <v>58</v>
      </c>
      <c r="C14" s="7" t="s">
        <v>59</v>
      </c>
      <c r="D14" s="8" t="s">
        <v>229</v>
      </c>
      <c r="E14" s="42" t="s">
        <v>61</v>
      </c>
      <c r="F14" s="39" t="s">
        <v>53</v>
      </c>
      <c r="G14" s="11" t="s">
        <v>66</v>
      </c>
      <c r="H14" s="136">
        <v>3.2821179999999996</v>
      </c>
      <c r="I14" s="140">
        <v>2</v>
      </c>
      <c r="J14" s="136">
        <f>I14*$J$2</f>
        <v>0.12</v>
      </c>
      <c r="K14" s="136">
        <v>15</v>
      </c>
      <c r="L14" s="139"/>
      <c r="M14" s="139"/>
      <c r="N14" s="136"/>
      <c r="O14" s="11"/>
      <c r="P14" s="136"/>
      <c r="Q14" s="140"/>
      <c r="R14" s="136"/>
      <c r="S14" s="136"/>
      <c r="T14" s="136"/>
      <c r="U14" s="136">
        <f>H14+J14+K14+N14+P14+R14+S14+T14</f>
        <v>18.402118</v>
      </c>
    </row>
    <row r="15" spans="1:21" ht="15" hidden="1" outlineLevel="2">
      <c r="A15" s="6" t="str">
        <f>A14</f>
        <v>M230</v>
      </c>
      <c r="B15" s="11" t="str">
        <f>B14</f>
        <v>DCM</v>
      </c>
      <c r="C15" s="11" t="str">
        <f>C14</f>
        <v>INFORMATION TECHNOLOGY</v>
      </c>
      <c r="D15" s="13" t="str">
        <f>D14</f>
        <v>709604</v>
      </c>
      <c r="E15" s="24" t="str">
        <f>E14</f>
        <v>72-60</v>
      </c>
      <c r="F15" s="39" t="s">
        <v>585</v>
      </c>
      <c r="G15" s="24" t="s">
        <v>585</v>
      </c>
      <c r="H15" s="136"/>
      <c r="I15" s="140"/>
      <c r="J15" s="136"/>
      <c r="K15" s="136"/>
      <c r="L15" s="139">
        <v>2.5</v>
      </c>
      <c r="M15" s="139">
        <v>0.2</v>
      </c>
      <c r="N15" s="136">
        <f>L15*M15*$N$2</f>
        <v>1567.5</v>
      </c>
      <c r="O15" s="11"/>
      <c r="P15" s="136"/>
      <c r="Q15" s="140"/>
      <c r="R15" s="136"/>
      <c r="S15" s="136"/>
      <c r="T15" s="136"/>
      <c r="U15" s="136">
        <f>H15+J15+K15+N15+P15+R15+S15+T15</f>
        <v>1567.5</v>
      </c>
    </row>
    <row r="16" spans="1:21" ht="15" hidden="1" outlineLevel="2">
      <c r="A16" s="6" t="str">
        <f>A14</f>
        <v>M230</v>
      </c>
      <c r="B16" s="11" t="str">
        <f>B14</f>
        <v>DCM</v>
      </c>
      <c r="C16" s="11" t="str">
        <f>C14</f>
        <v>INFORMATION TECHNOLOGY</v>
      </c>
      <c r="D16" s="13" t="str">
        <f>D14</f>
        <v>709604</v>
      </c>
      <c r="E16" s="24" t="str">
        <f>E14</f>
        <v>72-60</v>
      </c>
      <c r="F16" s="39" t="s">
        <v>615</v>
      </c>
      <c r="G16" s="24" t="s">
        <v>615</v>
      </c>
      <c r="H16" s="136"/>
      <c r="I16" s="140"/>
      <c r="J16" s="136"/>
      <c r="K16" s="136"/>
      <c r="L16" s="139"/>
      <c r="M16" s="139"/>
      <c r="N16" s="136"/>
      <c r="O16" s="34">
        <v>0.5</v>
      </c>
      <c r="P16" s="136">
        <f>O16*$P$2</f>
        <v>36</v>
      </c>
      <c r="Q16" s="140"/>
      <c r="R16" s="136"/>
      <c r="S16" s="136"/>
      <c r="T16" s="136"/>
      <c r="U16" s="136">
        <f>H16+J16+K16+N16+P16+R16+S16+T16</f>
        <v>36</v>
      </c>
    </row>
    <row r="17" spans="1:21" s="5" customFormat="1" ht="15.75" outlineLevel="1" collapsed="1">
      <c r="A17" s="170" t="s">
        <v>828</v>
      </c>
      <c r="B17" s="45"/>
      <c r="C17" s="45"/>
      <c r="D17" s="61"/>
      <c r="E17" s="44"/>
      <c r="F17" s="51"/>
      <c r="G17" s="45"/>
      <c r="H17" s="137">
        <f aca="true" t="shared" si="3" ref="H17:U17">SUBTOTAL(9,H13:H16)</f>
        <v>10.253210799999998</v>
      </c>
      <c r="I17" s="167">
        <f t="shared" si="3"/>
        <v>20</v>
      </c>
      <c r="J17" s="137">
        <f t="shared" si="3"/>
        <v>1.2000000000000002</v>
      </c>
      <c r="K17" s="137">
        <f t="shared" si="3"/>
        <v>45</v>
      </c>
      <c r="L17" s="141">
        <f t="shared" si="3"/>
        <v>2.5</v>
      </c>
      <c r="M17" s="141">
        <f t="shared" si="3"/>
        <v>0.2</v>
      </c>
      <c r="N17" s="137">
        <f t="shared" si="3"/>
        <v>1567.5</v>
      </c>
      <c r="O17" s="46">
        <f t="shared" si="3"/>
        <v>0.5</v>
      </c>
      <c r="P17" s="137">
        <f t="shared" si="3"/>
        <v>36</v>
      </c>
      <c r="Q17" s="167">
        <f t="shared" si="3"/>
        <v>0</v>
      </c>
      <c r="R17" s="137">
        <f t="shared" si="3"/>
        <v>0</v>
      </c>
      <c r="S17" s="137">
        <f t="shared" si="3"/>
        <v>0</v>
      </c>
      <c r="T17" s="171">
        <f t="shared" si="3"/>
        <v>0</v>
      </c>
      <c r="U17" s="137">
        <f t="shared" si="3"/>
        <v>1659.9532108</v>
      </c>
    </row>
    <row r="18" spans="1:21" ht="15" hidden="1" outlineLevel="2">
      <c r="A18" s="6" t="s">
        <v>369</v>
      </c>
      <c r="B18" s="7" t="s">
        <v>58</v>
      </c>
      <c r="C18" s="7" t="s">
        <v>370</v>
      </c>
      <c r="D18" s="8" t="s">
        <v>371</v>
      </c>
      <c r="E18" s="42" t="s">
        <v>372</v>
      </c>
      <c r="F18" s="39" t="s">
        <v>53</v>
      </c>
      <c r="G18" s="11" t="s">
        <v>63</v>
      </c>
      <c r="H18" s="136">
        <v>8.976016</v>
      </c>
      <c r="I18" s="140">
        <v>3</v>
      </c>
      <c r="J18" s="136">
        <f>I18*$J$2</f>
        <v>0.18</v>
      </c>
      <c r="K18" s="136">
        <v>15</v>
      </c>
      <c r="L18" s="139"/>
      <c r="M18" s="139"/>
      <c r="N18" s="136"/>
      <c r="O18" s="11"/>
      <c r="P18" s="136"/>
      <c r="Q18" s="140"/>
      <c r="R18" s="136"/>
      <c r="S18" s="152"/>
      <c r="T18" s="152"/>
      <c r="U18" s="136">
        <f>H18+J18+K18+N18+P18+R18+S18+T18</f>
        <v>24.156016</v>
      </c>
    </row>
    <row r="19" spans="1:21" ht="15" hidden="1" outlineLevel="2">
      <c r="A19" s="6" t="str">
        <f>A18</f>
        <v>M500</v>
      </c>
      <c r="B19" s="11" t="str">
        <f>B18</f>
        <v>DCM</v>
      </c>
      <c r="C19" s="11" t="str">
        <f>C18</f>
        <v>CFO</v>
      </c>
      <c r="D19" s="13" t="str">
        <f>D18</f>
        <v>704002</v>
      </c>
      <c r="E19" s="24" t="str">
        <f>E18</f>
        <v>72-01</v>
      </c>
      <c r="F19" s="39" t="s">
        <v>585</v>
      </c>
      <c r="G19" s="24" t="s">
        <v>585</v>
      </c>
      <c r="H19" s="136"/>
      <c r="I19" s="140"/>
      <c r="J19" s="136"/>
      <c r="K19" s="136"/>
      <c r="L19" s="139">
        <v>2</v>
      </c>
      <c r="M19" s="139">
        <v>0.1429</v>
      </c>
      <c r="N19" s="136">
        <f>L19*M19*$N$2</f>
        <v>895.983</v>
      </c>
      <c r="O19" s="11"/>
      <c r="P19" s="136"/>
      <c r="Q19" s="140"/>
      <c r="R19" s="136"/>
      <c r="S19" s="136"/>
      <c r="T19" s="136"/>
      <c r="U19" s="136">
        <f>H19+J19+K19+N19+P19+R19+S19+T19</f>
        <v>895.983</v>
      </c>
    </row>
    <row r="20" spans="1:21" s="5" customFormat="1" ht="15.75" outlineLevel="1" collapsed="1">
      <c r="A20" s="170" t="s">
        <v>829</v>
      </c>
      <c r="B20" s="45"/>
      <c r="C20" s="45"/>
      <c r="D20" s="61"/>
      <c r="E20" s="44"/>
      <c r="F20" s="51"/>
      <c r="G20" s="45"/>
      <c r="H20" s="137">
        <f aca="true" t="shared" si="4" ref="H20:U20">SUBTOTAL(9,H18:H19)</f>
        <v>8.976016</v>
      </c>
      <c r="I20" s="167">
        <f t="shared" si="4"/>
        <v>3</v>
      </c>
      <c r="J20" s="137">
        <f t="shared" si="4"/>
        <v>0.18</v>
      </c>
      <c r="K20" s="137">
        <f t="shared" si="4"/>
        <v>15</v>
      </c>
      <c r="L20" s="141">
        <f t="shared" si="4"/>
        <v>2</v>
      </c>
      <c r="M20" s="141">
        <f t="shared" si="4"/>
        <v>0.1429</v>
      </c>
      <c r="N20" s="137">
        <f t="shared" si="4"/>
        <v>895.983</v>
      </c>
      <c r="O20" s="46">
        <f t="shared" si="4"/>
        <v>0</v>
      </c>
      <c r="P20" s="137">
        <f t="shared" si="4"/>
        <v>0</v>
      </c>
      <c r="Q20" s="167">
        <f t="shared" si="4"/>
        <v>0</v>
      </c>
      <c r="R20" s="137">
        <f t="shared" si="4"/>
        <v>0</v>
      </c>
      <c r="S20" s="137">
        <f t="shared" si="4"/>
        <v>0</v>
      </c>
      <c r="T20" s="171">
        <f t="shared" si="4"/>
        <v>0</v>
      </c>
      <c r="U20" s="137">
        <f t="shared" si="4"/>
        <v>920.139016</v>
      </c>
    </row>
    <row r="21" spans="1:21" ht="15" hidden="1" outlineLevel="2">
      <c r="A21" s="6" t="s">
        <v>373</v>
      </c>
      <c r="B21" s="7" t="s">
        <v>58</v>
      </c>
      <c r="C21" s="7" t="s">
        <v>324</v>
      </c>
      <c r="D21" s="8" t="s">
        <v>374</v>
      </c>
      <c r="E21" s="42" t="s">
        <v>325</v>
      </c>
      <c r="F21" s="39" t="s">
        <v>53</v>
      </c>
      <c r="G21" s="24" t="s">
        <v>62</v>
      </c>
      <c r="H21" s="136">
        <v>30.507968399999996</v>
      </c>
      <c r="I21" s="149">
        <v>90</v>
      </c>
      <c r="J21" s="136">
        <f>I21*$J$1</f>
        <v>9</v>
      </c>
      <c r="K21" s="136">
        <v>30</v>
      </c>
      <c r="L21" s="139"/>
      <c r="M21" s="139"/>
      <c r="N21" s="136"/>
      <c r="O21" s="11"/>
      <c r="P21" s="136"/>
      <c r="Q21" s="140"/>
      <c r="R21" s="136"/>
      <c r="S21" s="136"/>
      <c r="T21" s="136"/>
      <c r="U21" s="136">
        <f aca="true" t="shared" si="5" ref="U21:U28">H21+J21+K21+N21+P21+R21+S21+T21</f>
        <v>69.5079684</v>
      </c>
    </row>
    <row r="22" spans="1:21" ht="15" hidden="1" outlineLevel="2">
      <c r="A22" s="6" t="s">
        <v>373</v>
      </c>
      <c r="B22" s="7" t="s">
        <v>58</v>
      </c>
      <c r="C22" s="7" t="s">
        <v>324</v>
      </c>
      <c r="D22" s="8" t="s">
        <v>374</v>
      </c>
      <c r="E22" s="42" t="s">
        <v>325</v>
      </c>
      <c r="F22" s="39" t="s">
        <v>53</v>
      </c>
      <c r="G22" s="24" t="s">
        <v>63</v>
      </c>
      <c r="H22" s="136">
        <v>21.580187999999996</v>
      </c>
      <c r="I22" s="149">
        <v>7</v>
      </c>
      <c r="J22" s="136">
        <f>I22*$J$2</f>
        <v>0.42</v>
      </c>
      <c r="K22" s="136">
        <v>15</v>
      </c>
      <c r="L22" s="139"/>
      <c r="M22" s="139"/>
      <c r="N22" s="136"/>
      <c r="O22" s="11"/>
      <c r="P22" s="136"/>
      <c r="Q22" s="140"/>
      <c r="R22" s="136"/>
      <c r="S22" s="136"/>
      <c r="T22" s="136"/>
      <c r="U22" s="136">
        <f t="shared" si="5"/>
        <v>37.000187999999994</v>
      </c>
    </row>
    <row r="23" spans="1:21" ht="15" hidden="1" outlineLevel="2">
      <c r="A23" s="6" t="s">
        <v>373</v>
      </c>
      <c r="B23" s="7" t="s">
        <v>58</v>
      </c>
      <c r="C23" s="7" t="s">
        <v>324</v>
      </c>
      <c r="D23" s="8" t="s">
        <v>374</v>
      </c>
      <c r="E23" s="42" t="s">
        <v>325</v>
      </c>
      <c r="F23" s="39" t="s">
        <v>53</v>
      </c>
      <c r="G23" s="24" t="s">
        <v>64</v>
      </c>
      <c r="H23" s="136">
        <v>28.773584</v>
      </c>
      <c r="I23" s="149">
        <v>22</v>
      </c>
      <c r="J23" s="136">
        <f>I23*$J$2</f>
        <v>1.3199999999999998</v>
      </c>
      <c r="K23" s="136">
        <v>45</v>
      </c>
      <c r="L23" s="139"/>
      <c r="M23" s="139"/>
      <c r="N23" s="136"/>
      <c r="O23" s="11"/>
      <c r="P23" s="136"/>
      <c r="Q23" s="140"/>
      <c r="R23" s="136"/>
      <c r="S23" s="136"/>
      <c r="T23" s="136"/>
      <c r="U23" s="136">
        <f t="shared" si="5"/>
        <v>75.09358399999999</v>
      </c>
    </row>
    <row r="24" spans="1:21" ht="15" hidden="1" outlineLevel="2">
      <c r="A24" s="6" t="s">
        <v>373</v>
      </c>
      <c r="B24" s="7" t="s">
        <v>58</v>
      </c>
      <c r="C24" s="7" t="s">
        <v>324</v>
      </c>
      <c r="D24" s="8" t="s">
        <v>374</v>
      </c>
      <c r="E24" s="42" t="s">
        <v>325</v>
      </c>
      <c r="F24" s="39" t="s">
        <v>53</v>
      </c>
      <c r="G24" s="24" t="s">
        <v>65</v>
      </c>
      <c r="H24" s="136">
        <v>56.089614</v>
      </c>
      <c r="I24" s="149">
        <v>110</v>
      </c>
      <c r="J24" s="136">
        <f>I24*$J$2</f>
        <v>6.6</v>
      </c>
      <c r="K24" s="136">
        <v>75</v>
      </c>
      <c r="L24" s="139"/>
      <c r="M24" s="139"/>
      <c r="N24" s="136"/>
      <c r="O24" s="11"/>
      <c r="P24" s="136"/>
      <c r="Q24" s="140"/>
      <c r="R24" s="136"/>
      <c r="S24" s="136"/>
      <c r="T24" s="136"/>
      <c r="U24" s="136">
        <f t="shared" si="5"/>
        <v>137.689614</v>
      </c>
    </row>
    <row r="25" spans="1:21" ht="15" hidden="1" outlineLevel="2">
      <c r="A25" s="6" t="s">
        <v>373</v>
      </c>
      <c r="B25" s="7" t="s">
        <v>58</v>
      </c>
      <c r="C25" s="7" t="s">
        <v>324</v>
      </c>
      <c r="D25" s="8" t="s">
        <v>374</v>
      </c>
      <c r="E25" s="42" t="s">
        <v>325</v>
      </c>
      <c r="F25" s="39" t="s">
        <v>53</v>
      </c>
      <c r="G25" s="24" t="s">
        <v>66</v>
      </c>
      <c r="H25" s="136">
        <v>2.1789908</v>
      </c>
      <c r="I25" s="149">
        <v>2</v>
      </c>
      <c r="J25" s="136">
        <f>I25*$J$2</f>
        <v>0.12</v>
      </c>
      <c r="K25" s="136">
        <v>15</v>
      </c>
      <c r="L25" s="139"/>
      <c r="M25" s="139"/>
      <c r="N25" s="136"/>
      <c r="O25" s="11"/>
      <c r="P25" s="136"/>
      <c r="Q25" s="140"/>
      <c r="R25" s="136"/>
      <c r="S25" s="136"/>
      <c r="T25" s="136"/>
      <c r="U25" s="136">
        <f t="shared" si="5"/>
        <v>17.2989908</v>
      </c>
    </row>
    <row r="26" spans="1:21" ht="15" hidden="1" outlineLevel="2">
      <c r="A26" s="6" t="str">
        <f>A25</f>
        <v>M506</v>
      </c>
      <c r="B26" s="11" t="str">
        <f>B25</f>
        <v>DCM</v>
      </c>
      <c r="C26" s="11" t="str">
        <f>C25</f>
        <v>FREDS</v>
      </c>
      <c r="D26" s="13" t="str">
        <f>D25</f>
        <v>904100</v>
      </c>
      <c r="E26" s="24" t="str">
        <f>E25</f>
        <v>72-55</v>
      </c>
      <c r="F26" s="39" t="s">
        <v>585</v>
      </c>
      <c r="G26" s="24" t="s">
        <v>585</v>
      </c>
      <c r="H26" s="136"/>
      <c r="I26" s="149"/>
      <c r="J26" s="136"/>
      <c r="K26" s="136"/>
      <c r="L26" s="139">
        <v>4</v>
      </c>
      <c r="M26" s="139">
        <v>0.18</v>
      </c>
      <c r="N26" s="136">
        <f>L26*M26*$N$2</f>
        <v>2257.2</v>
      </c>
      <c r="O26" s="11"/>
      <c r="P26" s="136"/>
      <c r="Q26" s="140"/>
      <c r="R26" s="136"/>
      <c r="S26" s="136"/>
      <c r="T26" s="136"/>
      <c r="U26" s="136">
        <f t="shared" si="5"/>
        <v>2257.2</v>
      </c>
    </row>
    <row r="27" spans="1:21" ht="15" hidden="1" outlineLevel="2">
      <c r="A27" s="28" t="s">
        <v>373</v>
      </c>
      <c r="B27" s="11" t="str">
        <f aca="true" t="shared" si="6" ref="B27:E28">B26</f>
        <v>DCM</v>
      </c>
      <c r="C27" s="11" t="str">
        <f t="shared" si="6"/>
        <v>FREDS</v>
      </c>
      <c r="D27" s="13" t="str">
        <f t="shared" si="6"/>
        <v>904100</v>
      </c>
      <c r="E27" s="38" t="str">
        <f t="shared" si="6"/>
        <v>72-55</v>
      </c>
      <c r="F27" s="20" t="s">
        <v>615</v>
      </c>
      <c r="G27" s="11" t="s">
        <v>615</v>
      </c>
      <c r="H27" s="136"/>
      <c r="I27" s="140"/>
      <c r="J27" s="136"/>
      <c r="K27" s="136"/>
      <c r="L27" s="139"/>
      <c r="M27" s="139"/>
      <c r="N27" s="136"/>
      <c r="O27" s="29">
        <f>0.5+0.25</f>
        <v>0.75</v>
      </c>
      <c r="P27" s="136">
        <f>O27*$P$2</f>
        <v>54</v>
      </c>
      <c r="Q27" s="140"/>
      <c r="R27" s="136"/>
      <c r="S27" s="136"/>
      <c r="T27" s="136"/>
      <c r="U27" s="136">
        <f t="shared" si="5"/>
        <v>54</v>
      </c>
    </row>
    <row r="28" spans="1:21" ht="15" hidden="1" outlineLevel="2">
      <c r="A28" s="36" t="s">
        <v>660</v>
      </c>
      <c r="B28" s="11" t="str">
        <f t="shared" si="6"/>
        <v>DCM</v>
      </c>
      <c r="C28" s="11" t="str">
        <f t="shared" si="6"/>
        <v>FREDS</v>
      </c>
      <c r="D28" s="13" t="str">
        <f t="shared" si="6"/>
        <v>904100</v>
      </c>
      <c r="E28" s="27" t="str">
        <f t="shared" si="6"/>
        <v>72-55</v>
      </c>
      <c r="F28" s="20" t="s">
        <v>683</v>
      </c>
      <c r="G28" s="11" t="s">
        <v>683</v>
      </c>
      <c r="H28" s="136"/>
      <c r="I28" s="140"/>
      <c r="J28" s="136"/>
      <c r="K28" s="136"/>
      <c r="L28" s="139"/>
      <c r="M28" s="139"/>
      <c r="N28" s="136"/>
      <c r="O28" s="34"/>
      <c r="P28" s="136"/>
      <c r="Q28" s="140"/>
      <c r="R28" s="136"/>
      <c r="S28" s="136"/>
      <c r="T28" s="150">
        <f>425.89+63.31+103.82</f>
        <v>593.02</v>
      </c>
      <c r="U28" s="136">
        <f t="shared" si="5"/>
        <v>593.02</v>
      </c>
    </row>
    <row r="29" spans="1:21" s="5" customFormat="1" ht="15.75" outlineLevel="1" collapsed="1">
      <c r="A29" s="170" t="s">
        <v>830</v>
      </c>
      <c r="B29" s="45"/>
      <c r="C29" s="45"/>
      <c r="D29" s="61"/>
      <c r="E29" s="44"/>
      <c r="F29" s="51"/>
      <c r="G29" s="45"/>
      <c r="H29" s="137">
        <f aca="true" t="shared" si="7" ref="H29:U29">SUBTOTAL(9,H21:H28)</f>
        <v>139.1303452</v>
      </c>
      <c r="I29" s="167">
        <f t="shared" si="7"/>
        <v>231</v>
      </c>
      <c r="J29" s="137">
        <f t="shared" si="7"/>
        <v>17.46</v>
      </c>
      <c r="K29" s="137">
        <f t="shared" si="7"/>
        <v>180</v>
      </c>
      <c r="L29" s="141">
        <f t="shared" si="7"/>
        <v>4</v>
      </c>
      <c r="M29" s="141">
        <f t="shared" si="7"/>
        <v>0.18</v>
      </c>
      <c r="N29" s="137">
        <f t="shared" si="7"/>
        <v>2257.2</v>
      </c>
      <c r="O29" s="46">
        <f t="shared" si="7"/>
        <v>0.75</v>
      </c>
      <c r="P29" s="137">
        <f t="shared" si="7"/>
        <v>54</v>
      </c>
      <c r="Q29" s="167">
        <f t="shared" si="7"/>
        <v>0</v>
      </c>
      <c r="R29" s="137">
        <f t="shared" si="7"/>
        <v>0</v>
      </c>
      <c r="S29" s="137">
        <f t="shared" si="7"/>
        <v>0</v>
      </c>
      <c r="T29" s="171">
        <f t="shared" si="7"/>
        <v>593.02</v>
      </c>
      <c r="U29" s="137">
        <f t="shared" si="7"/>
        <v>3240.8103452</v>
      </c>
    </row>
    <row r="30" spans="1:21" ht="15" hidden="1" outlineLevel="2">
      <c r="A30" s="6" t="s">
        <v>375</v>
      </c>
      <c r="B30" s="7" t="s">
        <v>58</v>
      </c>
      <c r="C30" s="7" t="s">
        <v>324</v>
      </c>
      <c r="D30" s="8" t="s">
        <v>374</v>
      </c>
      <c r="E30" s="42" t="s">
        <v>325</v>
      </c>
      <c r="F30" s="39" t="s">
        <v>53</v>
      </c>
      <c r="G30" s="11" t="s">
        <v>64</v>
      </c>
      <c r="H30" s="136">
        <v>1.908452</v>
      </c>
      <c r="I30" s="140">
        <v>1</v>
      </c>
      <c r="J30" s="136">
        <f>I30*$J$2</f>
        <v>0.06</v>
      </c>
      <c r="K30" s="136">
        <v>15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>H30+J30+K30+N30+P30+R30+S30+T30</f>
        <v>16.968452</v>
      </c>
    </row>
    <row r="31" spans="1:21" ht="15" hidden="1" outlineLevel="2">
      <c r="A31" s="6" t="s">
        <v>375</v>
      </c>
      <c r="B31" s="7" t="s">
        <v>58</v>
      </c>
      <c r="C31" s="7" t="s">
        <v>324</v>
      </c>
      <c r="D31" s="8" t="s">
        <v>374</v>
      </c>
      <c r="E31" s="42" t="s">
        <v>325</v>
      </c>
      <c r="F31" s="39" t="s">
        <v>53</v>
      </c>
      <c r="G31" s="11" t="s">
        <v>65</v>
      </c>
      <c r="H31" s="136">
        <v>0.608188</v>
      </c>
      <c r="I31" s="140">
        <v>1</v>
      </c>
      <c r="J31" s="136">
        <f>I31*$J$2</f>
        <v>0.06</v>
      </c>
      <c r="K31" s="136">
        <v>15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>H31+J31+K31+N31+P31+R31+S31+T31</f>
        <v>15.668188</v>
      </c>
    </row>
    <row r="32" spans="1:21" ht="15" hidden="1" outlineLevel="2">
      <c r="A32" s="6" t="str">
        <f>A31</f>
        <v>M507</v>
      </c>
      <c r="B32" s="11" t="str">
        <f>B31</f>
        <v>DCM</v>
      </c>
      <c r="C32" s="11" t="str">
        <f>C31</f>
        <v>FREDS</v>
      </c>
      <c r="D32" s="13" t="str">
        <f>D31</f>
        <v>904100</v>
      </c>
      <c r="E32" s="24" t="str">
        <f>E31</f>
        <v>72-55</v>
      </c>
      <c r="F32" s="39" t="s">
        <v>585</v>
      </c>
      <c r="G32" s="24" t="s">
        <v>585</v>
      </c>
      <c r="H32" s="136"/>
      <c r="I32" s="140"/>
      <c r="J32" s="136"/>
      <c r="K32" s="136"/>
      <c r="L32" s="139">
        <v>1</v>
      </c>
      <c r="M32" s="139">
        <v>1</v>
      </c>
      <c r="N32" s="136">
        <f>L32*M32*$N$2</f>
        <v>3135</v>
      </c>
      <c r="O32" s="11"/>
      <c r="P32" s="136"/>
      <c r="Q32" s="140"/>
      <c r="R32" s="136"/>
      <c r="S32" s="136"/>
      <c r="T32" s="136"/>
      <c r="U32" s="136">
        <f>H32+J32+K32+N32+P32+R32+S32+T32</f>
        <v>3135</v>
      </c>
    </row>
    <row r="33" spans="1:21" s="5" customFormat="1" ht="15.75" outlineLevel="1" collapsed="1">
      <c r="A33" s="170" t="s">
        <v>831</v>
      </c>
      <c r="B33" s="45"/>
      <c r="C33" s="45"/>
      <c r="D33" s="61"/>
      <c r="E33" s="44"/>
      <c r="F33" s="51"/>
      <c r="G33" s="45"/>
      <c r="H33" s="137">
        <f aca="true" t="shared" si="8" ref="H33:U33">SUBTOTAL(9,H30:H32)</f>
        <v>2.5166399999999998</v>
      </c>
      <c r="I33" s="167">
        <f t="shared" si="8"/>
        <v>2</v>
      </c>
      <c r="J33" s="137">
        <f t="shared" si="8"/>
        <v>0.12</v>
      </c>
      <c r="K33" s="137">
        <f t="shared" si="8"/>
        <v>30</v>
      </c>
      <c r="L33" s="141">
        <f t="shared" si="8"/>
        <v>1</v>
      </c>
      <c r="M33" s="141">
        <f t="shared" si="8"/>
        <v>1</v>
      </c>
      <c r="N33" s="137">
        <f t="shared" si="8"/>
        <v>3135</v>
      </c>
      <c r="O33" s="46">
        <f t="shared" si="8"/>
        <v>0</v>
      </c>
      <c r="P33" s="137">
        <f t="shared" si="8"/>
        <v>0</v>
      </c>
      <c r="Q33" s="167">
        <f t="shared" si="8"/>
        <v>0</v>
      </c>
      <c r="R33" s="137">
        <f t="shared" si="8"/>
        <v>0</v>
      </c>
      <c r="S33" s="137">
        <f t="shared" si="8"/>
        <v>0</v>
      </c>
      <c r="T33" s="171">
        <f t="shared" si="8"/>
        <v>0</v>
      </c>
      <c r="U33" s="137">
        <f t="shared" si="8"/>
        <v>3167.63664</v>
      </c>
    </row>
    <row r="34" spans="1:21" ht="15" hidden="1" outlineLevel="2">
      <c r="A34" s="9" t="s">
        <v>22</v>
      </c>
      <c r="B34" s="25" t="s">
        <v>58</v>
      </c>
      <c r="C34" s="16" t="s">
        <v>510</v>
      </c>
      <c r="D34" s="13" t="s">
        <v>603</v>
      </c>
      <c r="E34" s="27" t="s">
        <v>508</v>
      </c>
      <c r="F34" s="20" t="s">
        <v>585</v>
      </c>
      <c r="G34" s="27" t="s">
        <v>585</v>
      </c>
      <c r="H34" s="136"/>
      <c r="I34" s="140"/>
      <c r="J34" s="136"/>
      <c r="K34" s="136"/>
      <c r="L34" s="139">
        <v>2</v>
      </c>
      <c r="M34" s="139">
        <v>1</v>
      </c>
      <c r="N34" s="136">
        <f>L34*M34*$N$2</f>
        <v>6270</v>
      </c>
      <c r="O34" s="11"/>
      <c r="P34" s="136"/>
      <c r="Q34" s="140"/>
      <c r="R34" s="136"/>
      <c r="S34" s="136"/>
      <c r="T34" s="136"/>
      <c r="U34" s="136">
        <f>H34+J34+K34+N34+P34+R34+S34+T34</f>
        <v>6270</v>
      </c>
    </row>
    <row r="35" spans="1:21" s="5" customFormat="1" ht="15.75" outlineLevel="1" collapsed="1">
      <c r="A35" s="170" t="s">
        <v>832</v>
      </c>
      <c r="B35" s="45"/>
      <c r="C35" s="45"/>
      <c r="D35" s="61"/>
      <c r="E35" s="44"/>
      <c r="F35" s="51"/>
      <c r="G35" s="45"/>
      <c r="H35" s="137">
        <f aca="true" t="shared" si="9" ref="H35:U35">SUBTOTAL(9,H34:H34)</f>
        <v>0</v>
      </c>
      <c r="I35" s="167">
        <f t="shared" si="9"/>
        <v>0</v>
      </c>
      <c r="J35" s="137">
        <f t="shared" si="9"/>
        <v>0</v>
      </c>
      <c r="K35" s="137">
        <f t="shared" si="9"/>
        <v>0</v>
      </c>
      <c r="L35" s="141">
        <f t="shared" si="9"/>
        <v>2</v>
      </c>
      <c r="M35" s="141">
        <f t="shared" si="9"/>
        <v>1</v>
      </c>
      <c r="N35" s="137">
        <f t="shared" si="9"/>
        <v>6270</v>
      </c>
      <c r="O35" s="46">
        <f t="shared" si="9"/>
        <v>0</v>
      </c>
      <c r="P35" s="137">
        <f t="shared" si="9"/>
        <v>0</v>
      </c>
      <c r="Q35" s="167">
        <f t="shared" si="9"/>
        <v>0</v>
      </c>
      <c r="R35" s="137">
        <f t="shared" si="9"/>
        <v>0</v>
      </c>
      <c r="S35" s="137">
        <f t="shared" si="9"/>
        <v>0</v>
      </c>
      <c r="T35" s="171">
        <f t="shared" si="9"/>
        <v>0</v>
      </c>
      <c r="U35" s="137">
        <f t="shared" si="9"/>
        <v>6270</v>
      </c>
    </row>
    <row r="36" spans="1:21" ht="15" hidden="1" outlineLevel="2">
      <c r="A36" s="6" t="s">
        <v>397</v>
      </c>
      <c r="B36" s="7" t="s">
        <v>58</v>
      </c>
      <c r="C36" s="7" t="s">
        <v>398</v>
      </c>
      <c r="D36" s="8" t="s">
        <v>399</v>
      </c>
      <c r="E36" s="42" t="s">
        <v>400</v>
      </c>
      <c r="F36" s="39" t="s">
        <v>53</v>
      </c>
      <c r="G36" s="24" t="s">
        <v>62</v>
      </c>
      <c r="H36" s="136">
        <v>264.09200719999967</v>
      </c>
      <c r="I36" s="149">
        <v>760</v>
      </c>
      <c r="J36" s="136">
        <f>I36*$J$1</f>
        <v>76</v>
      </c>
      <c r="K36" s="136">
        <v>60</v>
      </c>
      <c r="L36" s="139"/>
      <c r="M36" s="139"/>
      <c r="N36" s="136"/>
      <c r="O36" s="11"/>
      <c r="P36" s="136"/>
      <c r="Q36" s="140"/>
      <c r="R36" s="136"/>
      <c r="S36" s="136"/>
      <c r="T36" s="136"/>
      <c r="U36" s="136">
        <f aca="true" t="shared" si="10" ref="U36:U43">H36+J36+K36+N36+P36+R36+S36+T36</f>
        <v>400.09200719999967</v>
      </c>
    </row>
    <row r="37" spans="1:21" ht="15" hidden="1" outlineLevel="2">
      <c r="A37" s="6" t="s">
        <v>397</v>
      </c>
      <c r="B37" s="7" t="s">
        <v>58</v>
      </c>
      <c r="C37" s="7" t="s">
        <v>398</v>
      </c>
      <c r="D37" s="8" t="s">
        <v>399</v>
      </c>
      <c r="E37" s="42" t="s">
        <v>400</v>
      </c>
      <c r="F37" s="39" t="s">
        <v>53</v>
      </c>
      <c r="G37" s="24" t="s">
        <v>63</v>
      </c>
      <c r="H37" s="136">
        <v>9.59469</v>
      </c>
      <c r="I37" s="149">
        <v>3</v>
      </c>
      <c r="J37" s="136">
        <f>I37*$J$2</f>
        <v>0.18</v>
      </c>
      <c r="K37" s="136">
        <v>0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 t="shared" si="10"/>
        <v>9.77469</v>
      </c>
    </row>
    <row r="38" spans="1:21" ht="15" hidden="1" outlineLevel="2">
      <c r="A38" s="6" t="s">
        <v>397</v>
      </c>
      <c r="B38" s="7" t="s">
        <v>58</v>
      </c>
      <c r="C38" s="7" t="s">
        <v>398</v>
      </c>
      <c r="D38" s="8" t="s">
        <v>399</v>
      </c>
      <c r="E38" s="42" t="s">
        <v>400</v>
      </c>
      <c r="F38" s="39" t="s">
        <v>53</v>
      </c>
      <c r="G38" s="24" t="s">
        <v>64</v>
      </c>
      <c r="H38" s="136">
        <v>46.3837724</v>
      </c>
      <c r="I38" s="149">
        <v>44</v>
      </c>
      <c r="J38" s="136">
        <f>I38*$J$2</f>
        <v>2.6399999999999997</v>
      </c>
      <c r="K38" s="136">
        <v>30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 t="shared" si="10"/>
        <v>79.0237724</v>
      </c>
    </row>
    <row r="39" spans="1:21" ht="15" hidden="1" outlineLevel="2">
      <c r="A39" s="6" t="s">
        <v>397</v>
      </c>
      <c r="B39" s="7" t="s">
        <v>58</v>
      </c>
      <c r="C39" s="7" t="s">
        <v>398</v>
      </c>
      <c r="D39" s="8" t="s">
        <v>399</v>
      </c>
      <c r="E39" s="42" t="s">
        <v>400</v>
      </c>
      <c r="F39" s="39" t="s">
        <v>53</v>
      </c>
      <c r="G39" s="24" t="s">
        <v>65</v>
      </c>
      <c r="H39" s="136">
        <v>69.68366439999998</v>
      </c>
      <c r="I39" s="149">
        <v>140</v>
      </c>
      <c r="J39" s="136">
        <f>I39*$J$2</f>
        <v>8.4</v>
      </c>
      <c r="K39" s="136">
        <v>75</v>
      </c>
      <c r="L39" s="139"/>
      <c r="M39" s="139"/>
      <c r="N39" s="136"/>
      <c r="O39" s="11"/>
      <c r="P39" s="136"/>
      <c r="Q39" s="140"/>
      <c r="R39" s="136"/>
      <c r="S39" s="136"/>
      <c r="T39" s="136"/>
      <c r="U39" s="136">
        <f t="shared" si="10"/>
        <v>153.08366439999998</v>
      </c>
    </row>
    <row r="40" spans="1:21" ht="15" hidden="1" outlineLevel="2">
      <c r="A40" s="6" t="s">
        <v>397</v>
      </c>
      <c r="B40" s="7" t="s">
        <v>58</v>
      </c>
      <c r="C40" s="7" t="s">
        <v>398</v>
      </c>
      <c r="D40" s="8" t="s">
        <v>399</v>
      </c>
      <c r="E40" s="42" t="s">
        <v>400</v>
      </c>
      <c r="F40" s="39" t="s">
        <v>53</v>
      </c>
      <c r="G40" s="24" t="s">
        <v>66</v>
      </c>
      <c r="H40" s="136">
        <v>17.667861399999996</v>
      </c>
      <c r="I40" s="149">
        <v>21</v>
      </c>
      <c r="J40" s="136">
        <f>I40*$J$2</f>
        <v>1.26</v>
      </c>
      <c r="K40" s="136">
        <v>15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 t="shared" si="10"/>
        <v>33.9278614</v>
      </c>
    </row>
    <row r="41" spans="1:21" ht="15" hidden="1" outlineLevel="2">
      <c r="A41" s="6" t="s">
        <v>397</v>
      </c>
      <c r="B41" s="7" t="s">
        <v>58</v>
      </c>
      <c r="C41" s="7" t="s">
        <v>398</v>
      </c>
      <c r="D41" s="8" t="s">
        <v>399</v>
      </c>
      <c r="E41" s="42" t="s">
        <v>400</v>
      </c>
      <c r="F41" s="39" t="s">
        <v>53</v>
      </c>
      <c r="G41" s="11" t="s">
        <v>167</v>
      </c>
      <c r="H41" s="136">
        <v>0.7235339999999999</v>
      </c>
      <c r="I41" s="140">
        <v>1</v>
      </c>
      <c r="J41" s="136">
        <f>I41*$J$2</f>
        <v>0.06</v>
      </c>
      <c r="K41" s="136">
        <v>0</v>
      </c>
      <c r="L41" s="139"/>
      <c r="M41" s="139"/>
      <c r="N41" s="136"/>
      <c r="O41" s="11"/>
      <c r="P41" s="136"/>
      <c r="Q41" s="140"/>
      <c r="R41" s="136"/>
      <c r="S41" s="136"/>
      <c r="T41" s="136"/>
      <c r="U41" s="136">
        <f t="shared" si="10"/>
        <v>0.783534</v>
      </c>
    </row>
    <row r="42" spans="1:21" ht="15" hidden="1" outlineLevel="2">
      <c r="A42" s="6" t="str">
        <f>A41</f>
        <v>M570</v>
      </c>
      <c r="B42" s="11" t="str">
        <f>B41</f>
        <v>DCM</v>
      </c>
      <c r="C42" s="11" t="str">
        <f>C41</f>
        <v>ASSESSMENT &amp; TAXATION</v>
      </c>
      <c r="D42" s="13" t="str">
        <f>D41</f>
        <v>706202</v>
      </c>
      <c r="E42" s="24" t="str">
        <f>E41</f>
        <v>72-30</v>
      </c>
      <c r="F42" s="39" t="s">
        <v>585</v>
      </c>
      <c r="G42" s="24" t="s">
        <v>585</v>
      </c>
      <c r="H42" s="136"/>
      <c r="I42" s="140"/>
      <c r="J42" s="136"/>
      <c r="K42" s="136"/>
      <c r="L42" s="139">
        <v>3</v>
      </c>
      <c r="M42" s="139">
        <v>0.01</v>
      </c>
      <c r="N42" s="136">
        <f>L42*M42*$N$2</f>
        <v>94.05</v>
      </c>
      <c r="O42" s="11"/>
      <c r="P42" s="136"/>
      <c r="Q42" s="140"/>
      <c r="R42" s="136"/>
      <c r="S42" s="136"/>
      <c r="T42" s="136"/>
      <c r="U42" s="136">
        <f t="shared" si="10"/>
        <v>94.05</v>
      </c>
    </row>
    <row r="43" spans="1:21" ht="15" hidden="1" outlineLevel="2">
      <c r="A43" s="28" t="s">
        <v>397</v>
      </c>
      <c r="B43" s="11" t="str">
        <f>B42</f>
        <v>DCM</v>
      </c>
      <c r="C43" s="11" t="str">
        <f>C42</f>
        <v>ASSESSMENT &amp; TAXATION</v>
      </c>
      <c r="D43" s="13" t="str">
        <f>D42</f>
        <v>706202</v>
      </c>
      <c r="E43" s="38" t="str">
        <f>E42</f>
        <v>72-30</v>
      </c>
      <c r="F43" s="20" t="s">
        <v>615</v>
      </c>
      <c r="G43" s="11" t="s">
        <v>615</v>
      </c>
      <c r="H43" s="136"/>
      <c r="I43" s="140"/>
      <c r="J43" s="136"/>
      <c r="K43" s="136"/>
      <c r="L43" s="139"/>
      <c r="M43" s="139"/>
      <c r="N43" s="136"/>
      <c r="O43" s="29">
        <v>1</v>
      </c>
      <c r="P43" s="136">
        <f>O43*$P$2</f>
        <v>72</v>
      </c>
      <c r="Q43" s="140"/>
      <c r="R43" s="136"/>
      <c r="S43" s="136"/>
      <c r="T43" s="136"/>
      <c r="U43" s="136">
        <f t="shared" si="10"/>
        <v>72</v>
      </c>
    </row>
    <row r="44" spans="1:21" s="5" customFormat="1" ht="15.75" outlineLevel="1" collapsed="1">
      <c r="A44" s="170" t="s">
        <v>833</v>
      </c>
      <c r="B44" s="45"/>
      <c r="C44" s="45"/>
      <c r="D44" s="61"/>
      <c r="E44" s="44"/>
      <c r="F44" s="51"/>
      <c r="G44" s="45"/>
      <c r="H44" s="137">
        <f aca="true" t="shared" si="11" ref="H44:U44">SUBTOTAL(9,H36:H43)</f>
        <v>408.14552939999965</v>
      </c>
      <c r="I44" s="167">
        <f t="shared" si="11"/>
        <v>969</v>
      </c>
      <c r="J44" s="137">
        <f t="shared" si="11"/>
        <v>88.54000000000002</v>
      </c>
      <c r="K44" s="137">
        <f t="shared" si="11"/>
        <v>180</v>
      </c>
      <c r="L44" s="141">
        <f t="shared" si="11"/>
        <v>3</v>
      </c>
      <c r="M44" s="141">
        <f t="shared" si="11"/>
        <v>0.01</v>
      </c>
      <c r="N44" s="137">
        <f t="shared" si="11"/>
        <v>94.05</v>
      </c>
      <c r="O44" s="46">
        <f t="shared" si="11"/>
        <v>1</v>
      </c>
      <c r="P44" s="137">
        <f t="shared" si="11"/>
        <v>72</v>
      </c>
      <c r="Q44" s="167">
        <f t="shared" si="11"/>
        <v>0</v>
      </c>
      <c r="R44" s="137">
        <f t="shared" si="11"/>
        <v>0</v>
      </c>
      <c r="S44" s="137">
        <f t="shared" si="11"/>
        <v>0</v>
      </c>
      <c r="T44" s="171">
        <f t="shared" si="11"/>
        <v>0</v>
      </c>
      <c r="U44" s="137">
        <f t="shared" si="11"/>
        <v>842.7355293999996</v>
      </c>
    </row>
    <row r="45" spans="1:21" ht="15" hidden="1" outlineLevel="2">
      <c r="A45" s="6" t="s">
        <v>401</v>
      </c>
      <c r="B45" s="7" t="s">
        <v>58</v>
      </c>
      <c r="C45" s="7" t="s">
        <v>324</v>
      </c>
      <c r="D45" s="8" t="s">
        <v>402</v>
      </c>
      <c r="E45" s="42" t="s">
        <v>325</v>
      </c>
      <c r="F45" s="39" t="s">
        <v>53</v>
      </c>
      <c r="G45" s="11" t="s">
        <v>62</v>
      </c>
      <c r="H45" s="136">
        <v>0.3271632</v>
      </c>
      <c r="I45" s="140">
        <v>1</v>
      </c>
      <c r="J45" s="136">
        <f>I45*$J$1</f>
        <v>0.1</v>
      </c>
      <c r="K45" s="136">
        <v>15</v>
      </c>
      <c r="L45" s="139"/>
      <c r="M45" s="139"/>
      <c r="N45" s="136"/>
      <c r="O45" s="11"/>
      <c r="P45" s="136"/>
      <c r="Q45" s="140"/>
      <c r="R45" s="136"/>
      <c r="S45" s="136"/>
      <c r="T45" s="136"/>
      <c r="U45" s="136">
        <f>H45+J45+K45+N45+P45+R45+S45+T45</f>
        <v>15.4271632</v>
      </c>
    </row>
    <row r="46" spans="1:21" ht="15" hidden="1" outlineLevel="2">
      <c r="A46" s="6" t="s">
        <v>401</v>
      </c>
      <c r="B46" s="7" t="s">
        <v>58</v>
      </c>
      <c r="C46" s="7" t="s">
        <v>324</v>
      </c>
      <c r="D46" s="8" t="s">
        <v>402</v>
      </c>
      <c r="E46" s="42" t="s">
        <v>325</v>
      </c>
      <c r="F46" s="39" t="s">
        <v>53</v>
      </c>
      <c r="G46" s="11" t="s">
        <v>65</v>
      </c>
      <c r="H46" s="136">
        <v>0.429926</v>
      </c>
      <c r="I46" s="140">
        <v>1</v>
      </c>
      <c r="J46" s="136">
        <f>I46*$J$2</f>
        <v>0.06</v>
      </c>
      <c r="K46" s="136">
        <v>15</v>
      </c>
      <c r="L46" s="139"/>
      <c r="M46" s="139"/>
      <c r="N46" s="136"/>
      <c r="O46" s="11"/>
      <c r="P46" s="136"/>
      <c r="Q46" s="140"/>
      <c r="R46" s="136"/>
      <c r="S46" s="136"/>
      <c r="T46" s="136"/>
      <c r="U46" s="136">
        <f>H46+J46+K46+N46+P46+R46+S46+T46</f>
        <v>15.489926</v>
      </c>
    </row>
    <row r="47" spans="1:21" ht="15" hidden="1" outlineLevel="2">
      <c r="A47" s="6" t="str">
        <f>A46</f>
        <v>M593</v>
      </c>
      <c r="B47" s="11" t="str">
        <f>B46</f>
        <v>DCM</v>
      </c>
      <c r="C47" s="11" t="str">
        <f>C46</f>
        <v>FREDS</v>
      </c>
      <c r="D47" s="13" t="str">
        <f>D46</f>
        <v>904200</v>
      </c>
      <c r="E47" s="24" t="str">
        <f>E46</f>
        <v>72-55</v>
      </c>
      <c r="F47" s="39" t="s">
        <v>585</v>
      </c>
      <c r="G47" s="24" t="s">
        <v>585</v>
      </c>
      <c r="H47" s="136"/>
      <c r="I47" s="140"/>
      <c r="J47" s="136"/>
      <c r="K47" s="136"/>
      <c r="L47" s="139">
        <v>4</v>
      </c>
      <c r="M47" s="139">
        <v>0.01</v>
      </c>
      <c r="N47" s="136">
        <f>L47*M47*$N$2</f>
        <v>125.4</v>
      </c>
      <c r="O47" s="11"/>
      <c r="P47" s="136"/>
      <c r="Q47" s="140"/>
      <c r="R47" s="136"/>
      <c r="S47" s="136"/>
      <c r="T47" s="136"/>
      <c r="U47" s="136">
        <f>H47+J47+K47+N47+P47+R47+S47+T47</f>
        <v>125.4</v>
      </c>
    </row>
    <row r="48" spans="1:21" ht="15" hidden="1" outlineLevel="2">
      <c r="A48" s="36" t="s">
        <v>664</v>
      </c>
      <c r="B48" s="11" t="str">
        <f>B47</f>
        <v>DCM</v>
      </c>
      <c r="C48" s="11" t="str">
        <f>C47</f>
        <v>FREDS</v>
      </c>
      <c r="D48" s="13" t="str">
        <f>D47</f>
        <v>904200</v>
      </c>
      <c r="E48" s="27" t="str">
        <f>E47</f>
        <v>72-55</v>
      </c>
      <c r="F48" s="20" t="s">
        <v>683</v>
      </c>
      <c r="G48" s="11" t="s">
        <v>683</v>
      </c>
      <c r="H48" s="136"/>
      <c r="I48" s="140"/>
      <c r="J48" s="136"/>
      <c r="K48" s="136"/>
      <c r="L48" s="139"/>
      <c r="M48" s="139"/>
      <c r="N48" s="136"/>
      <c r="O48" s="34"/>
      <c r="P48" s="136"/>
      <c r="Q48" s="140"/>
      <c r="R48" s="136"/>
      <c r="S48" s="136"/>
      <c r="T48" s="150">
        <f>22.56+5.34</f>
        <v>27.9</v>
      </c>
      <c r="U48" s="136">
        <f>H48+J48+K48+N48+P48+R48+S48+T48</f>
        <v>27.9</v>
      </c>
    </row>
    <row r="49" spans="1:21" s="5" customFormat="1" ht="15.75" outlineLevel="1" collapsed="1">
      <c r="A49" s="170" t="s">
        <v>834</v>
      </c>
      <c r="B49" s="45"/>
      <c r="C49" s="45"/>
      <c r="D49" s="61"/>
      <c r="E49" s="44"/>
      <c r="F49" s="51"/>
      <c r="G49" s="45"/>
      <c r="H49" s="137">
        <f aca="true" t="shared" si="12" ref="H49:U49">SUBTOTAL(9,H45:H48)</f>
        <v>0.7570892</v>
      </c>
      <c r="I49" s="167">
        <f t="shared" si="12"/>
        <v>2</v>
      </c>
      <c r="J49" s="137">
        <f t="shared" si="12"/>
        <v>0.16</v>
      </c>
      <c r="K49" s="137">
        <f t="shared" si="12"/>
        <v>30</v>
      </c>
      <c r="L49" s="141">
        <f t="shared" si="12"/>
        <v>4</v>
      </c>
      <c r="M49" s="141">
        <f t="shared" si="12"/>
        <v>0.01</v>
      </c>
      <c r="N49" s="137">
        <f t="shared" si="12"/>
        <v>125.4</v>
      </c>
      <c r="O49" s="46">
        <f t="shared" si="12"/>
        <v>0</v>
      </c>
      <c r="P49" s="137">
        <f t="shared" si="12"/>
        <v>0</v>
      </c>
      <c r="Q49" s="167">
        <f t="shared" si="12"/>
        <v>0</v>
      </c>
      <c r="R49" s="137">
        <f t="shared" si="12"/>
        <v>0</v>
      </c>
      <c r="S49" s="137">
        <f t="shared" si="12"/>
        <v>0</v>
      </c>
      <c r="T49" s="171">
        <f t="shared" si="12"/>
        <v>27.9</v>
      </c>
      <c r="U49" s="137">
        <f t="shared" si="12"/>
        <v>184.2170892</v>
      </c>
    </row>
    <row r="50" spans="1:21" ht="15" hidden="1" outlineLevel="2">
      <c r="A50" s="6" t="s">
        <v>406</v>
      </c>
      <c r="B50" s="7" t="s">
        <v>58</v>
      </c>
      <c r="C50" s="7" t="s">
        <v>407</v>
      </c>
      <c r="D50" s="8" t="s">
        <v>408</v>
      </c>
      <c r="E50" s="42" t="s">
        <v>400</v>
      </c>
      <c r="F50" s="39" t="s">
        <v>53</v>
      </c>
      <c r="G50" s="24" t="s">
        <v>65</v>
      </c>
      <c r="H50" s="136">
        <v>0.8808239999999999</v>
      </c>
      <c r="I50" s="149">
        <v>2</v>
      </c>
      <c r="J50" s="136">
        <f>I50*$J$2</f>
        <v>0.12</v>
      </c>
      <c r="K50" s="136">
        <v>15</v>
      </c>
      <c r="L50" s="139"/>
      <c r="M50" s="139"/>
      <c r="N50" s="136"/>
      <c r="O50" s="11"/>
      <c r="P50" s="136"/>
      <c r="Q50" s="140"/>
      <c r="R50" s="136"/>
      <c r="S50" s="136"/>
      <c r="T50" s="136"/>
      <c r="U50" s="136">
        <f>H50+J50+K50+N50+P50+R50+S50+T50</f>
        <v>16.000824</v>
      </c>
    </row>
    <row r="51" spans="1:21" s="5" customFormat="1" ht="15.75" outlineLevel="1" collapsed="1">
      <c r="A51" s="170" t="s">
        <v>835</v>
      </c>
      <c r="B51" s="45"/>
      <c r="C51" s="45"/>
      <c r="D51" s="61"/>
      <c r="E51" s="44"/>
      <c r="F51" s="51"/>
      <c r="G51" s="45"/>
      <c r="H51" s="137">
        <f aca="true" t="shared" si="13" ref="H51:U51">SUBTOTAL(9,H50:H50)</f>
        <v>0.8808239999999999</v>
      </c>
      <c r="I51" s="167">
        <f t="shared" si="13"/>
        <v>2</v>
      </c>
      <c r="J51" s="137">
        <f t="shared" si="13"/>
        <v>0.12</v>
      </c>
      <c r="K51" s="137">
        <f t="shared" si="13"/>
        <v>15</v>
      </c>
      <c r="L51" s="141">
        <f t="shared" si="13"/>
        <v>0</v>
      </c>
      <c r="M51" s="141">
        <f t="shared" si="13"/>
        <v>0</v>
      </c>
      <c r="N51" s="137">
        <f t="shared" si="13"/>
        <v>0</v>
      </c>
      <c r="O51" s="46">
        <f t="shared" si="13"/>
        <v>0</v>
      </c>
      <c r="P51" s="137">
        <f t="shared" si="13"/>
        <v>0</v>
      </c>
      <c r="Q51" s="167">
        <f t="shared" si="13"/>
        <v>0</v>
      </c>
      <c r="R51" s="137">
        <f t="shared" si="13"/>
        <v>0</v>
      </c>
      <c r="S51" s="137">
        <f t="shared" si="13"/>
        <v>0</v>
      </c>
      <c r="T51" s="171">
        <f t="shared" si="13"/>
        <v>0</v>
      </c>
      <c r="U51" s="137">
        <f t="shared" si="13"/>
        <v>16.000824</v>
      </c>
    </row>
    <row r="52" spans="1:21" ht="15" hidden="1" outlineLevel="2">
      <c r="A52" s="6" t="s">
        <v>619</v>
      </c>
      <c r="B52" s="7" t="s">
        <v>58</v>
      </c>
      <c r="C52" s="7" t="s">
        <v>620</v>
      </c>
      <c r="D52" s="13">
        <v>703001</v>
      </c>
      <c r="E52" s="26" t="s">
        <v>621</v>
      </c>
      <c r="F52" s="39" t="s">
        <v>615</v>
      </c>
      <c r="G52" s="27" t="s">
        <v>615</v>
      </c>
      <c r="H52" s="136"/>
      <c r="I52" s="149"/>
      <c r="J52" s="136"/>
      <c r="K52" s="136"/>
      <c r="L52" s="139"/>
      <c r="M52" s="139"/>
      <c r="N52" s="136"/>
      <c r="O52" s="34">
        <v>2.5</v>
      </c>
      <c r="P52" s="136">
        <f>O52*$P$2</f>
        <v>180</v>
      </c>
      <c r="Q52" s="140"/>
      <c r="R52" s="136"/>
      <c r="S52" s="136"/>
      <c r="T52" s="136"/>
      <c r="U52" s="136">
        <f>H52+J52+K52+N52+P52+R52+S52+T52</f>
        <v>180</v>
      </c>
    </row>
    <row r="53" spans="1:21" s="5" customFormat="1" ht="15.75" outlineLevel="1" collapsed="1">
      <c r="A53" s="170" t="s">
        <v>836</v>
      </c>
      <c r="B53" s="45"/>
      <c r="C53" s="45"/>
      <c r="D53" s="61"/>
      <c r="E53" s="44"/>
      <c r="F53" s="51"/>
      <c r="G53" s="45"/>
      <c r="H53" s="137">
        <f aca="true" t="shared" si="14" ref="H53:U53">SUBTOTAL(9,H52:H52)</f>
        <v>0</v>
      </c>
      <c r="I53" s="167">
        <f t="shared" si="14"/>
        <v>0</v>
      </c>
      <c r="J53" s="137">
        <f t="shared" si="14"/>
        <v>0</v>
      </c>
      <c r="K53" s="137">
        <f t="shared" si="14"/>
        <v>0</v>
      </c>
      <c r="L53" s="141">
        <f t="shared" si="14"/>
        <v>0</v>
      </c>
      <c r="M53" s="141">
        <f t="shared" si="14"/>
        <v>0</v>
      </c>
      <c r="N53" s="137">
        <f t="shared" si="14"/>
        <v>0</v>
      </c>
      <c r="O53" s="46">
        <f t="shared" si="14"/>
        <v>2.5</v>
      </c>
      <c r="P53" s="137">
        <f t="shared" si="14"/>
        <v>180</v>
      </c>
      <c r="Q53" s="167">
        <f t="shared" si="14"/>
        <v>0</v>
      </c>
      <c r="R53" s="137">
        <f t="shared" si="14"/>
        <v>0</v>
      </c>
      <c r="S53" s="137">
        <f t="shared" si="14"/>
        <v>0</v>
      </c>
      <c r="T53" s="171">
        <f t="shared" si="14"/>
        <v>0</v>
      </c>
      <c r="U53" s="137">
        <f t="shared" si="14"/>
        <v>180</v>
      </c>
    </row>
    <row r="54" spans="1:21" ht="15" hidden="1" outlineLevel="2">
      <c r="A54" s="6" t="s">
        <v>448</v>
      </c>
      <c r="B54" s="7" t="s">
        <v>58</v>
      </c>
      <c r="C54" s="7" t="s">
        <v>449</v>
      </c>
      <c r="D54" s="8" t="s">
        <v>450</v>
      </c>
      <c r="E54" s="42" t="s">
        <v>451</v>
      </c>
      <c r="F54" s="39" t="s">
        <v>53</v>
      </c>
      <c r="G54" s="11" t="s">
        <v>64</v>
      </c>
      <c r="H54" s="136">
        <v>8.735886599999999</v>
      </c>
      <c r="I54" s="140">
        <v>9</v>
      </c>
      <c r="J54" s="136">
        <f>I54*$J$2</f>
        <v>0.54</v>
      </c>
      <c r="K54" s="136">
        <v>15</v>
      </c>
      <c r="L54" s="139"/>
      <c r="M54" s="139"/>
      <c r="N54" s="136"/>
      <c r="O54" s="11"/>
      <c r="P54" s="136"/>
      <c r="Q54" s="140"/>
      <c r="R54" s="136"/>
      <c r="S54" s="136"/>
      <c r="T54" s="136"/>
      <c r="U54" s="136">
        <f>H54+J54+K54+N54+P54+R54+S54+T54</f>
        <v>24.2758866</v>
      </c>
    </row>
    <row r="55" spans="1:21" ht="15" hidden="1" outlineLevel="2">
      <c r="A55" s="28" t="s">
        <v>448</v>
      </c>
      <c r="B55" s="11" t="str">
        <f>B54</f>
        <v>DCM</v>
      </c>
      <c r="C55" s="11" t="str">
        <f>C54</f>
        <v>HUMAN RESOURCES</v>
      </c>
      <c r="D55" s="13" t="str">
        <f>D54</f>
        <v>705100</v>
      </c>
      <c r="E55" s="38" t="str">
        <f>E54</f>
        <v>72-80</v>
      </c>
      <c r="F55" s="20" t="s">
        <v>615</v>
      </c>
      <c r="G55" s="11" t="s">
        <v>615</v>
      </c>
      <c r="H55" s="136"/>
      <c r="I55" s="140"/>
      <c r="J55" s="136"/>
      <c r="K55" s="136"/>
      <c r="L55" s="139"/>
      <c r="M55" s="139"/>
      <c r="N55" s="136"/>
      <c r="O55" s="29">
        <v>1.25</v>
      </c>
      <c r="P55" s="136">
        <f>O55*$P$2</f>
        <v>90</v>
      </c>
      <c r="Q55" s="140"/>
      <c r="R55" s="136"/>
      <c r="S55" s="136"/>
      <c r="T55" s="136"/>
      <c r="U55" s="136">
        <f>H55+J55+K55+N55+P55+R55+S55+T55</f>
        <v>90</v>
      </c>
    </row>
    <row r="56" spans="1:21" s="5" customFormat="1" ht="15.75" outlineLevel="1" collapsed="1">
      <c r="A56" s="170" t="s">
        <v>837</v>
      </c>
      <c r="B56" s="45"/>
      <c r="C56" s="45"/>
      <c r="D56" s="61"/>
      <c r="E56" s="44"/>
      <c r="F56" s="51"/>
      <c r="G56" s="45"/>
      <c r="H56" s="137">
        <f aca="true" t="shared" si="15" ref="H56:U56">SUBTOTAL(9,H54:H55)</f>
        <v>8.735886599999999</v>
      </c>
      <c r="I56" s="167">
        <f t="shared" si="15"/>
        <v>9</v>
      </c>
      <c r="J56" s="137">
        <f t="shared" si="15"/>
        <v>0.54</v>
      </c>
      <c r="K56" s="137">
        <f t="shared" si="15"/>
        <v>15</v>
      </c>
      <c r="L56" s="141">
        <f t="shared" si="15"/>
        <v>0</v>
      </c>
      <c r="M56" s="141">
        <f t="shared" si="15"/>
        <v>0</v>
      </c>
      <c r="N56" s="137">
        <f t="shared" si="15"/>
        <v>0</v>
      </c>
      <c r="O56" s="46">
        <f t="shared" si="15"/>
        <v>1.25</v>
      </c>
      <c r="P56" s="137">
        <f t="shared" si="15"/>
        <v>90</v>
      </c>
      <c r="Q56" s="167">
        <f t="shared" si="15"/>
        <v>0</v>
      </c>
      <c r="R56" s="137">
        <f t="shared" si="15"/>
        <v>0</v>
      </c>
      <c r="S56" s="137">
        <f t="shared" si="15"/>
        <v>0</v>
      </c>
      <c r="T56" s="171">
        <f t="shared" si="15"/>
        <v>0</v>
      </c>
      <c r="U56" s="137">
        <f t="shared" si="15"/>
        <v>114.2758866</v>
      </c>
    </row>
    <row r="57" spans="1:21" ht="15" hidden="1" outlineLevel="2">
      <c r="A57" s="6" t="s">
        <v>454</v>
      </c>
      <c r="B57" s="7" t="s">
        <v>58</v>
      </c>
      <c r="C57" s="7" t="s">
        <v>455</v>
      </c>
      <c r="D57" s="8" t="s">
        <v>456</v>
      </c>
      <c r="E57" s="42" t="s">
        <v>457</v>
      </c>
      <c r="F57" s="39" t="s">
        <v>53</v>
      </c>
      <c r="G57" s="24" t="s">
        <v>62</v>
      </c>
      <c r="H57" s="136">
        <v>8185.830886799993</v>
      </c>
      <c r="I57" s="149">
        <v>24848</v>
      </c>
      <c r="J57" s="136">
        <f>I57*$J$1</f>
        <v>2484.8</v>
      </c>
      <c r="K57" s="136">
        <v>45</v>
      </c>
      <c r="L57" s="139"/>
      <c r="M57" s="139"/>
      <c r="N57" s="136"/>
      <c r="O57" s="11"/>
      <c r="P57" s="136"/>
      <c r="Q57" s="140"/>
      <c r="R57" s="136"/>
      <c r="S57" s="136"/>
      <c r="T57" s="136"/>
      <c r="U57" s="136">
        <f aca="true" t="shared" si="16" ref="U57:U63">H57+J57+K57+N57+P57+R57+S57+T57</f>
        <v>10715.630886799994</v>
      </c>
    </row>
    <row r="58" spans="1:21" ht="15" hidden="1" outlineLevel="2">
      <c r="A58" s="6" t="s">
        <v>454</v>
      </c>
      <c r="B58" s="7" t="s">
        <v>58</v>
      </c>
      <c r="C58" s="7" t="s">
        <v>455</v>
      </c>
      <c r="D58" s="8" t="s">
        <v>456</v>
      </c>
      <c r="E58" s="42" t="s">
        <v>457</v>
      </c>
      <c r="F58" s="39" t="s">
        <v>53</v>
      </c>
      <c r="G58" s="24" t="s">
        <v>63</v>
      </c>
      <c r="H58" s="136">
        <v>20.332354</v>
      </c>
      <c r="I58" s="149">
        <v>10</v>
      </c>
      <c r="J58" s="136">
        <f>I58*$J$2</f>
        <v>0.6</v>
      </c>
      <c r="K58" s="136">
        <v>0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t="shared" si="16"/>
        <v>20.932354</v>
      </c>
    </row>
    <row r="59" spans="1:21" ht="15" hidden="1" outlineLevel="2">
      <c r="A59" s="6" t="s">
        <v>454</v>
      </c>
      <c r="B59" s="7" t="s">
        <v>58</v>
      </c>
      <c r="C59" s="7" t="s">
        <v>455</v>
      </c>
      <c r="D59" s="8" t="s">
        <v>456</v>
      </c>
      <c r="E59" s="42" t="s">
        <v>457</v>
      </c>
      <c r="F59" s="39" t="s">
        <v>53</v>
      </c>
      <c r="G59" s="24" t="s">
        <v>64</v>
      </c>
      <c r="H59" s="136">
        <v>355.103147</v>
      </c>
      <c r="I59" s="149">
        <v>310</v>
      </c>
      <c r="J59" s="136">
        <f>I59*$J$2</f>
        <v>18.599999999999998</v>
      </c>
      <c r="K59" s="136">
        <v>45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6"/>
        <v>418.703147</v>
      </c>
    </row>
    <row r="60" spans="1:21" ht="15" hidden="1" outlineLevel="2">
      <c r="A60" s="6" t="s">
        <v>454</v>
      </c>
      <c r="B60" s="7" t="s">
        <v>58</v>
      </c>
      <c r="C60" s="7" t="s">
        <v>455</v>
      </c>
      <c r="D60" s="8" t="s">
        <v>456</v>
      </c>
      <c r="E60" s="42" t="s">
        <v>457</v>
      </c>
      <c r="F60" s="39" t="s">
        <v>53</v>
      </c>
      <c r="G60" s="24" t="s">
        <v>65</v>
      </c>
      <c r="H60" s="136">
        <v>218.601642</v>
      </c>
      <c r="I60" s="149">
        <v>371</v>
      </c>
      <c r="J60" s="136">
        <f>I60*$J$2</f>
        <v>22.259999999999998</v>
      </c>
      <c r="K60" s="136">
        <v>45</v>
      </c>
      <c r="L60" s="139"/>
      <c r="M60" s="139"/>
      <c r="N60" s="136"/>
      <c r="O60" s="11"/>
      <c r="P60" s="136"/>
      <c r="Q60" s="140"/>
      <c r="R60" s="136"/>
      <c r="S60" s="136"/>
      <c r="T60" s="136"/>
      <c r="U60" s="136">
        <f t="shared" si="16"/>
        <v>285.86164199999996</v>
      </c>
    </row>
    <row r="61" spans="1:21" ht="15" hidden="1" outlineLevel="2">
      <c r="A61" s="6" t="s">
        <v>454</v>
      </c>
      <c r="B61" s="7" t="s">
        <v>58</v>
      </c>
      <c r="C61" s="7" t="s">
        <v>455</v>
      </c>
      <c r="D61" s="8" t="s">
        <v>456</v>
      </c>
      <c r="E61" s="42" t="s">
        <v>457</v>
      </c>
      <c r="F61" s="39" t="s">
        <v>53</v>
      </c>
      <c r="G61" s="24" t="s">
        <v>66</v>
      </c>
      <c r="H61" s="136">
        <v>44.4595914</v>
      </c>
      <c r="I61" s="149">
        <v>49</v>
      </c>
      <c r="J61" s="136">
        <f>I61*$J$2</f>
        <v>2.94</v>
      </c>
      <c r="K61" s="136">
        <v>30</v>
      </c>
      <c r="L61" s="139"/>
      <c r="M61" s="139"/>
      <c r="N61" s="136"/>
      <c r="O61" s="11"/>
      <c r="P61" s="136"/>
      <c r="Q61" s="140"/>
      <c r="R61" s="136"/>
      <c r="S61" s="136"/>
      <c r="T61" s="136"/>
      <c r="U61" s="136">
        <f t="shared" si="16"/>
        <v>77.39959139999999</v>
      </c>
    </row>
    <row r="62" spans="1:21" ht="15" hidden="1" outlineLevel="2">
      <c r="A62" s="6" t="s">
        <v>454</v>
      </c>
      <c r="B62" s="7" t="s">
        <v>58</v>
      </c>
      <c r="C62" s="7" t="s">
        <v>455</v>
      </c>
      <c r="D62" s="8" t="s">
        <v>456</v>
      </c>
      <c r="E62" s="42" t="s">
        <v>457</v>
      </c>
      <c r="F62" s="39" t="s">
        <v>53</v>
      </c>
      <c r="G62" s="24" t="s">
        <v>167</v>
      </c>
      <c r="H62" s="136">
        <v>11.637362799999998</v>
      </c>
      <c r="I62" s="149">
        <v>16</v>
      </c>
      <c r="J62" s="136">
        <f>I62*$J$2</f>
        <v>0.96</v>
      </c>
      <c r="K62" s="136">
        <v>15</v>
      </c>
      <c r="L62" s="139"/>
      <c r="M62" s="139"/>
      <c r="N62" s="136"/>
      <c r="O62" s="11"/>
      <c r="P62" s="136"/>
      <c r="Q62" s="140"/>
      <c r="R62" s="136"/>
      <c r="S62" s="136"/>
      <c r="T62" s="136"/>
      <c r="U62" s="136">
        <f t="shared" si="16"/>
        <v>27.5973628</v>
      </c>
    </row>
    <row r="63" spans="1:21" ht="15" hidden="1" outlineLevel="2">
      <c r="A63" s="28" t="s">
        <v>454</v>
      </c>
      <c r="B63" s="11" t="str">
        <f>B62</f>
        <v>DCM</v>
      </c>
      <c r="C63" s="11" t="str">
        <f>C62</f>
        <v>FINANCE &amp; RISK</v>
      </c>
      <c r="D63" s="13" t="str">
        <f>D62</f>
        <v>704100</v>
      </c>
      <c r="E63" s="38" t="str">
        <f>E62</f>
        <v>72-10</v>
      </c>
      <c r="F63" s="20" t="s">
        <v>615</v>
      </c>
      <c r="G63" s="11" t="s">
        <v>615</v>
      </c>
      <c r="H63" s="136"/>
      <c r="I63" s="140"/>
      <c r="J63" s="136"/>
      <c r="K63" s="136"/>
      <c r="L63" s="139"/>
      <c r="M63" s="139"/>
      <c r="N63" s="136"/>
      <c r="O63" s="29">
        <v>0.75</v>
      </c>
      <c r="P63" s="136">
        <f>O63*$P$2</f>
        <v>54</v>
      </c>
      <c r="Q63" s="140"/>
      <c r="R63" s="136"/>
      <c r="S63" s="136"/>
      <c r="T63" s="136"/>
      <c r="U63" s="136">
        <f t="shared" si="16"/>
        <v>54</v>
      </c>
    </row>
    <row r="64" spans="1:21" s="5" customFormat="1" ht="15.75" outlineLevel="1" collapsed="1">
      <c r="A64" s="170" t="s">
        <v>838</v>
      </c>
      <c r="B64" s="45"/>
      <c r="C64" s="45"/>
      <c r="D64" s="61"/>
      <c r="E64" s="44"/>
      <c r="F64" s="51"/>
      <c r="G64" s="45"/>
      <c r="H64" s="137">
        <f aca="true" t="shared" si="17" ref="H64:U64">SUBTOTAL(9,H57:H63)</f>
        <v>8835.964983999993</v>
      </c>
      <c r="I64" s="167">
        <f t="shared" si="17"/>
        <v>25604</v>
      </c>
      <c r="J64" s="137">
        <f t="shared" si="17"/>
        <v>2530.1600000000003</v>
      </c>
      <c r="K64" s="137">
        <f t="shared" si="17"/>
        <v>180</v>
      </c>
      <c r="L64" s="141">
        <f t="shared" si="17"/>
        <v>0</v>
      </c>
      <c r="M64" s="141">
        <f t="shared" si="17"/>
        <v>0</v>
      </c>
      <c r="N64" s="137">
        <f t="shared" si="17"/>
        <v>0</v>
      </c>
      <c r="O64" s="46">
        <f t="shared" si="17"/>
        <v>0.75</v>
      </c>
      <c r="P64" s="137">
        <f t="shared" si="17"/>
        <v>54</v>
      </c>
      <c r="Q64" s="167">
        <f t="shared" si="17"/>
        <v>0</v>
      </c>
      <c r="R64" s="137">
        <f t="shared" si="17"/>
        <v>0</v>
      </c>
      <c r="S64" s="137">
        <f t="shared" si="17"/>
        <v>0</v>
      </c>
      <c r="T64" s="171">
        <f t="shared" si="17"/>
        <v>0</v>
      </c>
      <c r="U64" s="137">
        <f t="shared" si="17"/>
        <v>11600.124983999995</v>
      </c>
    </row>
    <row r="65" spans="1:21" ht="15" hidden="1" outlineLevel="2">
      <c r="A65" s="6" t="s">
        <v>458</v>
      </c>
      <c r="B65" s="7" t="s">
        <v>58</v>
      </c>
      <c r="C65" s="7" t="s">
        <v>370</v>
      </c>
      <c r="D65" s="8" t="s">
        <v>371</v>
      </c>
      <c r="E65" s="42" t="s">
        <v>372</v>
      </c>
      <c r="F65" s="39" t="s">
        <v>53</v>
      </c>
      <c r="G65" s="24" t="s">
        <v>62</v>
      </c>
      <c r="H65" s="136">
        <v>2.9444687999999997</v>
      </c>
      <c r="I65" s="149">
        <v>9</v>
      </c>
      <c r="J65" s="136">
        <f>I65*$J$1</f>
        <v>0.9</v>
      </c>
      <c r="K65" s="136">
        <v>30</v>
      </c>
      <c r="L65" s="139"/>
      <c r="M65" s="139"/>
      <c r="N65" s="136"/>
      <c r="O65" s="11"/>
      <c r="P65" s="136"/>
      <c r="Q65" s="140"/>
      <c r="R65" s="136"/>
      <c r="S65" s="136"/>
      <c r="T65" s="136"/>
      <c r="U65" s="136">
        <f aca="true" t="shared" si="18" ref="U65:U71">H65+J65+K65+N65+P65+R65+S65+T65</f>
        <v>33.8444688</v>
      </c>
    </row>
    <row r="66" spans="1:21" ht="15" hidden="1" outlineLevel="2">
      <c r="A66" s="6" t="s">
        <v>458</v>
      </c>
      <c r="B66" s="7" t="s">
        <v>58</v>
      </c>
      <c r="C66" s="7" t="s">
        <v>370</v>
      </c>
      <c r="D66" s="8" t="s">
        <v>371</v>
      </c>
      <c r="E66" s="42" t="s">
        <v>372</v>
      </c>
      <c r="F66" s="39" t="s">
        <v>53</v>
      </c>
      <c r="G66" s="24" t="s">
        <v>63</v>
      </c>
      <c r="H66" s="136">
        <v>4.8309002</v>
      </c>
      <c r="I66" s="149">
        <v>3</v>
      </c>
      <c r="J66" s="136">
        <f>I66*$J$2</f>
        <v>0.18</v>
      </c>
      <c r="K66" s="136">
        <v>15</v>
      </c>
      <c r="L66" s="139"/>
      <c r="M66" s="139"/>
      <c r="N66" s="136"/>
      <c r="O66" s="11"/>
      <c r="P66" s="136"/>
      <c r="Q66" s="140"/>
      <c r="R66" s="136"/>
      <c r="S66" s="136"/>
      <c r="T66" s="136"/>
      <c r="U66" s="136">
        <f t="shared" si="18"/>
        <v>20.010900200000002</v>
      </c>
    </row>
    <row r="67" spans="1:21" ht="15" hidden="1" outlineLevel="2">
      <c r="A67" s="6" t="s">
        <v>458</v>
      </c>
      <c r="B67" s="7" t="s">
        <v>58</v>
      </c>
      <c r="C67" s="7" t="s">
        <v>370</v>
      </c>
      <c r="D67" s="8" t="s">
        <v>371</v>
      </c>
      <c r="E67" s="42" t="s">
        <v>372</v>
      </c>
      <c r="F67" s="39" t="s">
        <v>53</v>
      </c>
      <c r="G67" s="24" t="s">
        <v>64</v>
      </c>
      <c r="H67" s="136">
        <v>7.1724239999999995</v>
      </c>
      <c r="I67" s="149">
        <v>7</v>
      </c>
      <c r="J67" s="136">
        <f>I67*$J$2</f>
        <v>0.42</v>
      </c>
      <c r="K67" s="136">
        <v>45</v>
      </c>
      <c r="L67" s="139"/>
      <c r="M67" s="139"/>
      <c r="N67" s="136"/>
      <c r="O67" s="11"/>
      <c r="P67" s="136"/>
      <c r="Q67" s="140"/>
      <c r="R67" s="136"/>
      <c r="S67" s="136"/>
      <c r="T67" s="136"/>
      <c r="U67" s="136">
        <f t="shared" si="18"/>
        <v>52.592424</v>
      </c>
    </row>
    <row r="68" spans="1:21" ht="15" hidden="1" outlineLevel="2">
      <c r="A68" s="6" t="s">
        <v>458</v>
      </c>
      <c r="B68" s="7" t="s">
        <v>58</v>
      </c>
      <c r="C68" s="7" t="s">
        <v>370</v>
      </c>
      <c r="D68" s="8" t="s">
        <v>371</v>
      </c>
      <c r="E68" s="42" t="s">
        <v>372</v>
      </c>
      <c r="F68" s="39" t="s">
        <v>53</v>
      </c>
      <c r="G68" s="24" t="s">
        <v>65</v>
      </c>
      <c r="H68" s="136">
        <v>3.04094</v>
      </c>
      <c r="I68" s="149">
        <v>7</v>
      </c>
      <c r="J68" s="136">
        <f>I68*$J$2</f>
        <v>0.42</v>
      </c>
      <c r="K68" s="136">
        <v>30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t="shared" si="18"/>
        <v>33.46094</v>
      </c>
    </row>
    <row r="69" spans="1:21" ht="15" hidden="1" outlineLevel="2">
      <c r="A69" s="6" t="s">
        <v>458</v>
      </c>
      <c r="B69" s="7" t="s">
        <v>58</v>
      </c>
      <c r="C69" s="7" t="s">
        <v>370</v>
      </c>
      <c r="D69" s="8" t="s">
        <v>371</v>
      </c>
      <c r="E69" s="42" t="s">
        <v>372</v>
      </c>
      <c r="F69" s="39" t="s">
        <v>53</v>
      </c>
      <c r="G69" s="11" t="s">
        <v>66</v>
      </c>
      <c r="H69" s="136">
        <v>3.8032722000000003</v>
      </c>
      <c r="I69" s="140">
        <v>3</v>
      </c>
      <c r="J69" s="136">
        <f>I69*$J$2</f>
        <v>0.18</v>
      </c>
      <c r="K69" s="136">
        <v>30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 t="shared" si="18"/>
        <v>33.9832722</v>
      </c>
    </row>
    <row r="70" spans="1:21" ht="15" hidden="1" outlineLevel="2">
      <c r="A70" s="6" t="str">
        <f>A69</f>
        <v>M734</v>
      </c>
      <c r="B70" s="11" t="str">
        <f>B69</f>
        <v>DCM</v>
      </c>
      <c r="C70" s="11" t="str">
        <f>C69</f>
        <v>CFO</v>
      </c>
      <c r="D70" s="13" t="str">
        <f>D69</f>
        <v>704002</v>
      </c>
      <c r="E70" s="24" t="str">
        <f>E69</f>
        <v>72-01</v>
      </c>
      <c r="F70" s="39" t="s">
        <v>585</v>
      </c>
      <c r="G70" s="24" t="s">
        <v>585</v>
      </c>
      <c r="H70" s="136"/>
      <c r="I70" s="140"/>
      <c r="J70" s="136"/>
      <c r="K70" s="136"/>
      <c r="L70" s="139">
        <v>6</v>
      </c>
      <c r="M70" s="139">
        <v>1</v>
      </c>
      <c r="N70" s="136">
        <f>L70*M70*$N$2</f>
        <v>18810</v>
      </c>
      <c r="O70" s="11"/>
      <c r="P70" s="136"/>
      <c r="Q70" s="140"/>
      <c r="R70" s="136"/>
      <c r="S70" s="136"/>
      <c r="T70" s="136"/>
      <c r="U70" s="136">
        <f t="shared" si="18"/>
        <v>18810</v>
      </c>
    </row>
    <row r="71" spans="1:21" ht="15" hidden="1" outlineLevel="2">
      <c r="A71" s="28" t="s">
        <v>458</v>
      </c>
      <c r="B71" s="11" t="str">
        <f>B70</f>
        <v>DCM</v>
      </c>
      <c r="C71" s="11" t="str">
        <f>C70</f>
        <v>CFO</v>
      </c>
      <c r="D71" s="13" t="str">
        <f>D70</f>
        <v>704002</v>
      </c>
      <c r="E71" s="38" t="str">
        <f>E70</f>
        <v>72-01</v>
      </c>
      <c r="F71" s="20" t="s">
        <v>615</v>
      </c>
      <c r="G71" s="11" t="s">
        <v>615</v>
      </c>
      <c r="H71" s="136"/>
      <c r="I71" s="140"/>
      <c r="J71" s="136"/>
      <c r="K71" s="136"/>
      <c r="L71" s="139"/>
      <c r="M71" s="139"/>
      <c r="N71" s="136"/>
      <c r="O71" s="29">
        <f>1.25+3.25</f>
        <v>4.5</v>
      </c>
      <c r="P71" s="136">
        <f>O71*$P$2</f>
        <v>324</v>
      </c>
      <c r="Q71" s="140"/>
      <c r="R71" s="136"/>
      <c r="S71" s="136"/>
      <c r="T71" s="136"/>
      <c r="U71" s="136">
        <f t="shared" si="18"/>
        <v>324</v>
      </c>
    </row>
    <row r="72" spans="1:21" s="5" customFormat="1" ht="15.75" outlineLevel="1" collapsed="1">
      <c r="A72" s="170" t="s">
        <v>839</v>
      </c>
      <c r="B72" s="45"/>
      <c r="C72" s="45"/>
      <c r="D72" s="61"/>
      <c r="E72" s="44"/>
      <c r="F72" s="51"/>
      <c r="G72" s="45"/>
      <c r="H72" s="137">
        <f aca="true" t="shared" si="19" ref="H72:U72">SUBTOTAL(9,H65:H71)</f>
        <v>21.7920052</v>
      </c>
      <c r="I72" s="167">
        <f t="shared" si="19"/>
        <v>29</v>
      </c>
      <c r="J72" s="137">
        <f t="shared" si="19"/>
        <v>2.1</v>
      </c>
      <c r="K72" s="137">
        <f t="shared" si="19"/>
        <v>150</v>
      </c>
      <c r="L72" s="141">
        <f t="shared" si="19"/>
        <v>6</v>
      </c>
      <c r="M72" s="141">
        <f t="shared" si="19"/>
        <v>1</v>
      </c>
      <c r="N72" s="137">
        <f t="shared" si="19"/>
        <v>18810</v>
      </c>
      <c r="O72" s="46">
        <f t="shared" si="19"/>
        <v>4.5</v>
      </c>
      <c r="P72" s="137">
        <f t="shared" si="19"/>
        <v>324</v>
      </c>
      <c r="Q72" s="167">
        <f t="shared" si="19"/>
        <v>0</v>
      </c>
      <c r="R72" s="137">
        <f t="shared" si="19"/>
        <v>0</v>
      </c>
      <c r="S72" s="137">
        <f t="shared" si="19"/>
        <v>0</v>
      </c>
      <c r="T72" s="171">
        <f t="shared" si="19"/>
        <v>0</v>
      </c>
      <c r="U72" s="137">
        <f t="shared" si="19"/>
        <v>19307.8920052</v>
      </c>
    </row>
    <row r="73" spans="1:21" ht="15" hidden="1" outlineLevel="2">
      <c r="A73" s="6" t="s">
        <v>459</v>
      </c>
      <c r="B73" s="7" t="s">
        <v>58</v>
      </c>
      <c r="C73" s="7" t="s">
        <v>460</v>
      </c>
      <c r="D73" s="8" t="s">
        <v>461</v>
      </c>
      <c r="E73" s="42" t="s">
        <v>457</v>
      </c>
      <c r="F73" s="39" t="s">
        <v>53</v>
      </c>
      <c r="G73" s="24" t="s">
        <v>62</v>
      </c>
      <c r="H73" s="136">
        <v>12837.686831199995</v>
      </c>
      <c r="I73" s="149">
        <v>38289</v>
      </c>
      <c r="J73" s="136">
        <f>I73*$J$1</f>
        <v>3828.9</v>
      </c>
      <c r="K73" s="136">
        <v>15</v>
      </c>
      <c r="L73" s="139"/>
      <c r="M73" s="139"/>
      <c r="N73" s="136"/>
      <c r="O73" s="11"/>
      <c r="P73" s="136"/>
      <c r="Q73" s="140"/>
      <c r="R73" s="136"/>
      <c r="S73" s="136"/>
      <c r="T73" s="136"/>
      <c r="U73" s="136">
        <f aca="true" t="shared" si="20" ref="U73:U82">H73+J73+K73+N73+P73+R73+S73+T73</f>
        <v>16681.586831199995</v>
      </c>
    </row>
    <row r="74" spans="1:21" ht="15" hidden="1" outlineLevel="2">
      <c r="A74" s="6" t="s">
        <v>459</v>
      </c>
      <c r="B74" s="7" t="s">
        <v>58</v>
      </c>
      <c r="C74" s="7" t="s">
        <v>460</v>
      </c>
      <c r="D74" s="8" t="s">
        <v>461</v>
      </c>
      <c r="E74" s="42" t="s">
        <v>457</v>
      </c>
      <c r="F74" s="39" t="s">
        <v>53</v>
      </c>
      <c r="G74" s="24" t="s">
        <v>63</v>
      </c>
      <c r="H74" s="136">
        <v>56.907522</v>
      </c>
      <c r="I74" s="149">
        <v>25</v>
      </c>
      <c r="J74" s="136">
        <f>I74*$J$2</f>
        <v>1.5</v>
      </c>
      <c r="K74" s="136">
        <v>0</v>
      </c>
      <c r="L74" s="139"/>
      <c r="M74" s="139"/>
      <c r="N74" s="136"/>
      <c r="O74" s="11"/>
      <c r="P74" s="136"/>
      <c r="Q74" s="140"/>
      <c r="R74" s="136"/>
      <c r="S74" s="136"/>
      <c r="T74" s="136"/>
      <c r="U74" s="136">
        <f t="shared" si="20"/>
        <v>58.407522</v>
      </c>
    </row>
    <row r="75" spans="1:21" ht="15" hidden="1" outlineLevel="2">
      <c r="A75" s="6" t="s">
        <v>459</v>
      </c>
      <c r="B75" s="7" t="s">
        <v>58</v>
      </c>
      <c r="C75" s="7" t="s">
        <v>460</v>
      </c>
      <c r="D75" s="8" t="s">
        <v>461</v>
      </c>
      <c r="E75" s="42" t="s">
        <v>457</v>
      </c>
      <c r="F75" s="39" t="s">
        <v>53</v>
      </c>
      <c r="G75" s="24" t="s">
        <v>64</v>
      </c>
      <c r="H75" s="136">
        <v>6843.104878400001</v>
      </c>
      <c r="I75" s="149">
        <v>2212</v>
      </c>
      <c r="J75" s="136">
        <f>I75*$J$2</f>
        <v>132.72</v>
      </c>
      <c r="K75" s="136">
        <v>45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t="shared" si="20"/>
        <v>7020.824878400002</v>
      </c>
    </row>
    <row r="76" spans="1:21" ht="15" hidden="1" outlineLevel="2">
      <c r="A76" s="6" t="s">
        <v>459</v>
      </c>
      <c r="B76" s="7" t="s">
        <v>58</v>
      </c>
      <c r="C76" s="7" t="s">
        <v>460</v>
      </c>
      <c r="D76" s="8" t="s">
        <v>461</v>
      </c>
      <c r="E76" s="42" t="s">
        <v>457</v>
      </c>
      <c r="F76" s="39" t="s">
        <v>53</v>
      </c>
      <c r="G76" s="24" t="s">
        <v>65</v>
      </c>
      <c r="H76" s="136">
        <v>13234.765436199998</v>
      </c>
      <c r="I76" s="149">
        <v>3987</v>
      </c>
      <c r="J76" s="136">
        <f>I76*$J$2</f>
        <v>239.22</v>
      </c>
      <c r="K76" s="136">
        <v>45</v>
      </c>
      <c r="L76" s="139"/>
      <c r="M76" s="139"/>
      <c r="N76" s="136"/>
      <c r="O76" s="11"/>
      <c r="P76" s="136"/>
      <c r="Q76" s="140"/>
      <c r="R76" s="136"/>
      <c r="S76" s="136"/>
      <c r="T76" s="136"/>
      <c r="U76" s="136">
        <f t="shared" si="20"/>
        <v>13518.985436199997</v>
      </c>
    </row>
    <row r="77" spans="1:21" ht="15" hidden="1" outlineLevel="2">
      <c r="A77" s="6" t="s">
        <v>459</v>
      </c>
      <c r="B77" s="7" t="s">
        <v>58</v>
      </c>
      <c r="C77" s="7" t="s">
        <v>460</v>
      </c>
      <c r="D77" s="8" t="s">
        <v>461</v>
      </c>
      <c r="E77" s="42" t="s">
        <v>457</v>
      </c>
      <c r="F77" s="39" t="s">
        <v>53</v>
      </c>
      <c r="G77" s="24" t="s">
        <v>66</v>
      </c>
      <c r="H77" s="136">
        <v>1023.3213998</v>
      </c>
      <c r="I77" s="149">
        <v>1101</v>
      </c>
      <c r="J77" s="136">
        <f>I77*$J$2</f>
        <v>66.06</v>
      </c>
      <c r="K77" s="136">
        <v>75</v>
      </c>
      <c r="L77" s="139"/>
      <c r="M77" s="139"/>
      <c r="N77" s="136"/>
      <c r="O77" s="11"/>
      <c r="P77" s="136"/>
      <c r="Q77" s="140"/>
      <c r="R77" s="136"/>
      <c r="S77" s="136"/>
      <c r="T77" s="136"/>
      <c r="U77" s="136">
        <f t="shared" si="20"/>
        <v>1164.3813998</v>
      </c>
    </row>
    <row r="78" spans="1:21" ht="15" hidden="1" outlineLevel="2">
      <c r="A78" s="6" t="s">
        <v>459</v>
      </c>
      <c r="B78" s="7" t="s">
        <v>58</v>
      </c>
      <c r="C78" s="7" t="s">
        <v>460</v>
      </c>
      <c r="D78" s="8" t="s">
        <v>461</v>
      </c>
      <c r="E78" s="42" t="s">
        <v>457</v>
      </c>
      <c r="F78" s="39" t="s">
        <v>53</v>
      </c>
      <c r="G78" s="24" t="s">
        <v>167</v>
      </c>
      <c r="H78" s="136">
        <v>4.179719599999999</v>
      </c>
      <c r="I78" s="149">
        <v>5</v>
      </c>
      <c r="J78" s="136">
        <f>I78*$J$2</f>
        <v>0.3</v>
      </c>
      <c r="K78" s="136">
        <v>0</v>
      </c>
      <c r="L78" s="139"/>
      <c r="M78" s="139"/>
      <c r="N78" s="136"/>
      <c r="O78" s="11"/>
      <c r="P78" s="136"/>
      <c r="Q78" s="140"/>
      <c r="R78" s="136"/>
      <c r="S78" s="136"/>
      <c r="T78" s="136"/>
      <c r="U78" s="136">
        <f t="shared" si="20"/>
        <v>4.479719599999999</v>
      </c>
    </row>
    <row r="79" spans="1:21" ht="15" hidden="1" outlineLevel="2">
      <c r="A79" s="28" t="s">
        <v>459</v>
      </c>
      <c r="B79" s="11" t="str">
        <f>B78</f>
        <v>DCM</v>
      </c>
      <c r="C79" s="11" t="str">
        <f>C78</f>
        <v>FINANCE</v>
      </c>
      <c r="D79" s="13" t="str">
        <f>D78</f>
        <v>itax.dbcs.finadmin</v>
      </c>
      <c r="E79" s="38" t="str">
        <f>E78</f>
        <v>72-10</v>
      </c>
      <c r="F79" s="20" t="s">
        <v>615</v>
      </c>
      <c r="G79" s="11" t="s">
        <v>615</v>
      </c>
      <c r="H79" s="136"/>
      <c r="I79" s="140"/>
      <c r="J79" s="136"/>
      <c r="K79" s="136"/>
      <c r="L79" s="139"/>
      <c r="M79" s="139"/>
      <c r="N79" s="136"/>
      <c r="O79" s="29">
        <v>0.75</v>
      </c>
      <c r="P79" s="136">
        <f>O79*$P$2</f>
        <v>54</v>
      </c>
      <c r="Q79" s="140"/>
      <c r="R79" s="136"/>
      <c r="S79" s="136"/>
      <c r="T79" s="136"/>
      <c r="U79" s="136">
        <f t="shared" si="20"/>
        <v>54</v>
      </c>
    </row>
    <row r="80" spans="1:21" ht="15" hidden="1" outlineLevel="2">
      <c r="A80" s="28" t="s">
        <v>459</v>
      </c>
      <c r="B80" s="11" t="str">
        <f>B78</f>
        <v>DCM</v>
      </c>
      <c r="C80" s="11" t="str">
        <f>C78</f>
        <v>FINANCE</v>
      </c>
      <c r="D80" s="13" t="str">
        <f>D78</f>
        <v>itax.dbcs.finadmin</v>
      </c>
      <c r="E80" s="38" t="str">
        <f>E78</f>
        <v>72-10</v>
      </c>
      <c r="F80" s="20" t="s">
        <v>53</v>
      </c>
      <c r="G80" s="11" t="s">
        <v>684</v>
      </c>
      <c r="H80" s="136"/>
      <c r="I80" s="140"/>
      <c r="J80" s="136"/>
      <c r="K80" s="136"/>
      <c r="L80" s="139"/>
      <c r="M80" s="139"/>
      <c r="N80" s="136"/>
      <c r="O80" s="29"/>
      <c r="P80" s="136"/>
      <c r="Q80" s="140"/>
      <c r="R80" s="136">
        <v>741.1</v>
      </c>
      <c r="S80" s="136"/>
      <c r="T80" s="136"/>
      <c r="U80" s="136">
        <f t="shared" si="20"/>
        <v>741.1</v>
      </c>
    </row>
    <row r="81" spans="1:21" ht="15" hidden="1" outlineLevel="2">
      <c r="A81" s="28" t="s">
        <v>459</v>
      </c>
      <c r="B81" s="11" t="str">
        <f>B78</f>
        <v>DCM</v>
      </c>
      <c r="C81" s="11" t="str">
        <f>C78</f>
        <v>FINANCE</v>
      </c>
      <c r="D81" s="13" t="str">
        <f>D78</f>
        <v>itax.dbcs.finadmin</v>
      </c>
      <c r="E81" s="38" t="str">
        <f>E78</f>
        <v>72-10</v>
      </c>
      <c r="F81" s="20" t="s">
        <v>53</v>
      </c>
      <c r="G81" s="11" t="s">
        <v>687</v>
      </c>
      <c r="H81" s="136"/>
      <c r="I81" s="140"/>
      <c r="J81" s="136"/>
      <c r="K81" s="136"/>
      <c r="L81" s="139"/>
      <c r="M81" s="139"/>
      <c r="N81" s="136"/>
      <c r="O81" s="29"/>
      <c r="P81" s="136"/>
      <c r="Q81" s="140"/>
      <c r="R81" s="136">
        <v>1523.34</v>
      </c>
      <c r="S81" s="136"/>
      <c r="T81" s="136"/>
      <c r="U81" s="136">
        <f t="shared" si="20"/>
        <v>1523.34</v>
      </c>
    </row>
    <row r="82" spans="1:21" ht="15" hidden="1" outlineLevel="2">
      <c r="A82" s="28" t="s">
        <v>459</v>
      </c>
      <c r="B82" s="11" t="str">
        <f>B78</f>
        <v>DCM</v>
      </c>
      <c r="C82" s="41" t="str">
        <f>C78</f>
        <v>FINANCE</v>
      </c>
      <c r="D82" s="13" t="str">
        <f>D78</f>
        <v>itax.dbcs.finadmin</v>
      </c>
      <c r="E82" s="38" t="str">
        <f>E78</f>
        <v>72-10</v>
      </c>
      <c r="F82" s="20" t="s">
        <v>584</v>
      </c>
      <c r="G82" s="11" t="s">
        <v>584</v>
      </c>
      <c r="H82" s="136"/>
      <c r="I82" s="140"/>
      <c r="J82" s="136"/>
      <c r="K82" s="136"/>
      <c r="L82" s="139"/>
      <c r="M82" s="139"/>
      <c r="N82" s="136"/>
      <c r="O82" s="29"/>
      <c r="P82" s="136"/>
      <c r="Q82" s="140">
        <v>4688</v>
      </c>
      <c r="R82" s="136">
        <v>117.2</v>
      </c>
      <c r="S82" s="136">
        <f>Q82*$S$2</f>
        <v>46.88</v>
      </c>
      <c r="T82" s="136"/>
      <c r="U82" s="136">
        <f t="shared" si="20"/>
        <v>164.08</v>
      </c>
    </row>
    <row r="83" spans="1:21" s="5" customFormat="1" ht="15.75" outlineLevel="1" collapsed="1">
      <c r="A83" s="170" t="s">
        <v>840</v>
      </c>
      <c r="B83" s="45"/>
      <c r="C83" s="45"/>
      <c r="D83" s="61"/>
      <c r="E83" s="44"/>
      <c r="F83" s="51"/>
      <c r="G83" s="45"/>
      <c r="H83" s="137">
        <f aca="true" t="shared" si="21" ref="H83:U83">SUBTOTAL(9,H73:H82)</f>
        <v>33999.96578719999</v>
      </c>
      <c r="I83" s="167">
        <f t="shared" si="21"/>
        <v>45619</v>
      </c>
      <c r="J83" s="137">
        <f t="shared" si="21"/>
        <v>4268.700000000001</v>
      </c>
      <c r="K83" s="137">
        <f t="shared" si="21"/>
        <v>180</v>
      </c>
      <c r="L83" s="141">
        <f t="shared" si="21"/>
        <v>0</v>
      </c>
      <c r="M83" s="141">
        <f t="shared" si="21"/>
        <v>0</v>
      </c>
      <c r="N83" s="137">
        <f t="shared" si="21"/>
        <v>0</v>
      </c>
      <c r="O83" s="46">
        <f t="shared" si="21"/>
        <v>0.75</v>
      </c>
      <c r="P83" s="137">
        <f t="shared" si="21"/>
        <v>54</v>
      </c>
      <c r="Q83" s="167">
        <f t="shared" si="21"/>
        <v>4688</v>
      </c>
      <c r="R83" s="137">
        <f t="shared" si="21"/>
        <v>2381.64</v>
      </c>
      <c r="S83" s="137">
        <f t="shared" si="21"/>
        <v>46.88</v>
      </c>
      <c r="T83" s="171">
        <f t="shared" si="21"/>
        <v>0</v>
      </c>
      <c r="U83" s="137">
        <f t="shared" si="21"/>
        <v>40931.18578719999</v>
      </c>
    </row>
    <row r="84" spans="1:21" ht="15" hidden="1" outlineLevel="2">
      <c r="A84" s="6" t="s">
        <v>462</v>
      </c>
      <c r="B84" s="7" t="s">
        <v>58</v>
      </c>
      <c r="C84" s="7" t="s">
        <v>463</v>
      </c>
      <c r="D84" s="8" t="s">
        <v>464</v>
      </c>
      <c r="E84" s="42" t="s">
        <v>372</v>
      </c>
      <c r="F84" s="39" t="s">
        <v>53</v>
      </c>
      <c r="G84" s="24" t="s">
        <v>62</v>
      </c>
      <c r="H84" s="136">
        <v>466.71927680000044</v>
      </c>
      <c r="I84" s="149">
        <v>1384</v>
      </c>
      <c r="J84" s="136">
        <f>I84*$J$1</f>
        <v>138.4</v>
      </c>
      <c r="K84" s="136">
        <v>30</v>
      </c>
      <c r="L84" s="139"/>
      <c r="M84" s="139"/>
      <c r="N84" s="136"/>
      <c r="O84" s="11"/>
      <c r="P84" s="136"/>
      <c r="Q84" s="140"/>
      <c r="R84" s="136"/>
      <c r="S84" s="136"/>
      <c r="T84" s="136"/>
      <c r="U84" s="136">
        <f>H84+J84+K84+N84+P84+R84+S84+T84</f>
        <v>635.1192768000004</v>
      </c>
    </row>
    <row r="85" spans="1:21" ht="15" hidden="1" outlineLevel="2">
      <c r="A85" s="6" t="s">
        <v>462</v>
      </c>
      <c r="B85" s="7" t="s">
        <v>58</v>
      </c>
      <c r="C85" s="7" t="s">
        <v>463</v>
      </c>
      <c r="D85" s="8" t="s">
        <v>464</v>
      </c>
      <c r="E85" s="42" t="s">
        <v>372</v>
      </c>
      <c r="F85" s="39" t="s">
        <v>53</v>
      </c>
      <c r="G85" s="24" t="s">
        <v>63</v>
      </c>
      <c r="H85" s="136">
        <v>41.514074</v>
      </c>
      <c r="I85" s="149">
        <v>12</v>
      </c>
      <c r="J85" s="136">
        <f>I85*$J$2</f>
        <v>0.72</v>
      </c>
      <c r="K85" s="136">
        <v>0</v>
      </c>
      <c r="L85" s="139"/>
      <c r="M85" s="139"/>
      <c r="N85" s="136"/>
      <c r="O85" s="11"/>
      <c r="P85" s="136"/>
      <c r="Q85" s="140"/>
      <c r="R85" s="136"/>
      <c r="S85" s="136"/>
      <c r="T85" s="136"/>
      <c r="U85" s="136">
        <f>H85+J85+K85+N85+P85+R85+S85+T85</f>
        <v>42.234074</v>
      </c>
    </row>
    <row r="86" spans="1:21" ht="15" hidden="1" outlineLevel="2">
      <c r="A86" s="6" t="s">
        <v>462</v>
      </c>
      <c r="B86" s="7" t="s">
        <v>58</v>
      </c>
      <c r="C86" s="7" t="s">
        <v>463</v>
      </c>
      <c r="D86" s="8" t="s">
        <v>464</v>
      </c>
      <c r="E86" s="42" t="s">
        <v>372</v>
      </c>
      <c r="F86" s="39" t="s">
        <v>53</v>
      </c>
      <c r="G86" s="24" t="s">
        <v>64</v>
      </c>
      <c r="H86" s="136">
        <v>47.1681252</v>
      </c>
      <c r="I86" s="149">
        <v>41</v>
      </c>
      <c r="J86" s="136">
        <f>I86*$J$2</f>
        <v>2.46</v>
      </c>
      <c r="K86" s="136">
        <v>45</v>
      </c>
      <c r="L86" s="139"/>
      <c r="M86" s="139"/>
      <c r="N86" s="136"/>
      <c r="O86" s="11"/>
      <c r="P86" s="136"/>
      <c r="Q86" s="140"/>
      <c r="R86" s="136"/>
      <c r="S86" s="136"/>
      <c r="T86" s="136"/>
      <c r="U86" s="136">
        <f>H86+J86+K86+N86+P86+R86+S86+T86</f>
        <v>94.6281252</v>
      </c>
    </row>
    <row r="87" spans="1:21" ht="15" hidden="1" outlineLevel="2">
      <c r="A87" s="6" t="s">
        <v>462</v>
      </c>
      <c r="B87" s="7" t="s">
        <v>58</v>
      </c>
      <c r="C87" s="7" t="s">
        <v>463</v>
      </c>
      <c r="D87" s="8" t="s">
        <v>464</v>
      </c>
      <c r="E87" s="42" t="s">
        <v>372</v>
      </c>
      <c r="F87" s="39" t="s">
        <v>53</v>
      </c>
      <c r="G87" s="24" t="s">
        <v>65</v>
      </c>
      <c r="H87" s="136">
        <v>396.08977519999974</v>
      </c>
      <c r="I87" s="149">
        <v>840</v>
      </c>
      <c r="J87" s="136">
        <f>I87*$J$2</f>
        <v>50.4</v>
      </c>
      <c r="K87" s="136">
        <v>90</v>
      </c>
      <c r="L87" s="139"/>
      <c r="M87" s="139"/>
      <c r="N87" s="136"/>
      <c r="O87" s="11"/>
      <c r="P87" s="136"/>
      <c r="Q87" s="140"/>
      <c r="R87" s="136"/>
      <c r="S87" s="136"/>
      <c r="T87" s="136"/>
      <c r="U87" s="136">
        <f>H87+J87+K87+N87+P87+R87+S87+T87</f>
        <v>536.4897751999997</v>
      </c>
    </row>
    <row r="88" spans="1:21" ht="15" hidden="1" outlineLevel="2">
      <c r="A88" s="6" t="s">
        <v>462</v>
      </c>
      <c r="B88" s="7" t="s">
        <v>58</v>
      </c>
      <c r="C88" s="7" t="s">
        <v>463</v>
      </c>
      <c r="D88" s="8" t="s">
        <v>464</v>
      </c>
      <c r="E88" s="42" t="s">
        <v>372</v>
      </c>
      <c r="F88" s="39" t="s">
        <v>53</v>
      </c>
      <c r="G88" s="24" t="s">
        <v>66</v>
      </c>
      <c r="H88" s="136">
        <v>140.44214380000003</v>
      </c>
      <c r="I88" s="149">
        <v>130</v>
      </c>
      <c r="J88" s="136">
        <f>I88*$J$2</f>
        <v>7.8</v>
      </c>
      <c r="K88" s="136">
        <v>15</v>
      </c>
      <c r="L88" s="139"/>
      <c r="M88" s="139"/>
      <c r="N88" s="136"/>
      <c r="O88" s="11"/>
      <c r="P88" s="136"/>
      <c r="Q88" s="140"/>
      <c r="R88" s="136"/>
      <c r="S88" s="136"/>
      <c r="T88" s="136"/>
      <c r="U88" s="136">
        <f>H88+J88+K88+N88+P88+R88+S88+T88</f>
        <v>163.24214380000004</v>
      </c>
    </row>
    <row r="89" spans="1:21" s="5" customFormat="1" ht="15.75" outlineLevel="1" collapsed="1">
      <c r="A89" s="170" t="s">
        <v>841</v>
      </c>
      <c r="B89" s="45"/>
      <c r="C89" s="45"/>
      <c r="D89" s="61"/>
      <c r="E89" s="44"/>
      <c r="F89" s="51"/>
      <c r="G89" s="45"/>
      <c r="H89" s="137">
        <f aca="true" t="shared" si="22" ref="H89:U89">SUBTOTAL(9,H84:H88)</f>
        <v>1091.9333950000002</v>
      </c>
      <c r="I89" s="167">
        <f t="shared" si="22"/>
        <v>2407</v>
      </c>
      <c r="J89" s="137">
        <f t="shared" si="22"/>
        <v>199.78000000000003</v>
      </c>
      <c r="K89" s="137">
        <f t="shared" si="22"/>
        <v>180</v>
      </c>
      <c r="L89" s="141">
        <f t="shared" si="22"/>
        <v>0</v>
      </c>
      <c r="M89" s="141">
        <f t="shared" si="22"/>
        <v>0</v>
      </c>
      <c r="N89" s="137">
        <f t="shared" si="22"/>
        <v>0</v>
      </c>
      <c r="O89" s="46">
        <f t="shared" si="22"/>
        <v>0</v>
      </c>
      <c r="P89" s="137">
        <f t="shared" si="22"/>
        <v>0</v>
      </c>
      <c r="Q89" s="167">
        <f t="shared" si="22"/>
        <v>0</v>
      </c>
      <c r="R89" s="137">
        <f t="shared" si="22"/>
        <v>0</v>
      </c>
      <c r="S89" s="137">
        <f t="shared" si="22"/>
        <v>0</v>
      </c>
      <c r="T89" s="171">
        <f t="shared" si="22"/>
        <v>0</v>
      </c>
      <c r="U89" s="137">
        <f t="shared" si="22"/>
        <v>1471.7133950000002</v>
      </c>
    </row>
    <row r="90" spans="1:21" ht="15" hidden="1" outlineLevel="2">
      <c r="A90" s="6" t="s">
        <v>465</v>
      </c>
      <c r="B90" s="7" t="s">
        <v>58</v>
      </c>
      <c r="C90" s="7" t="s">
        <v>398</v>
      </c>
      <c r="D90" s="8" t="s">
        <v>466</v>
      </c>
      <c r="E90" s="42" t="s">
        <v>400</v>
      </c>
      <c r="F90" s="39" t="s">
        <v>53</v>
      </c>
      <c r="G90" s="24" t="s">
        <v>62</v>
      </c>
      <c r="H90" s="136">
        <v>731.0713368</v>
      </c>
      <c r="I90" s="149">
        <v>2047</v>
      </c>
      <c r="J90" s="136">
        <f>I90*$J$1</f>
        <v>204.70000000000002</v>
      </c>
      <c r="K90" s="136">
        <v>120</v>
      </c>
      <c r="L90" s="139"/>
      <c r="M90" s="139"/>
      <c r="N90" s="136"/>
      <c r="O90" s="11"/>
      <c r="P90" s="136"/>
      <c r="Q90" s="140"/>
      <c r="R90" s="136"/>
      <c r="S90" s="136"/>
      <c r="T90" s="136"/>
      <c r="U90" s="136">
        <f aca="true" t="shared" si="23" ref="U90:U95">H90+J90+K90+N90+P90+R90+S90+T90</f>
        <v>1055.7713368</v>
      </c>
    </row>
    <row r="91" spans="1:21" ht="15" hidden="1" outlineLevel="2">
      <c r="A91" s="6" t="s">
        <v>465</v>
      </c>
      <c r="B91" s="7" t="s">
        <v>58</v>
      </c>
      <c r="C91" s="7" t="s">
        <v>398</v>
      </c>
      <c r="D91" s="8" t="s">
        <v>466</v>
      </c>
      <c r="E91" s="42" t="s">
        <v>400</v>
      </c>
      <c r="F91" s="39" t="s">
        <v>53</v>
      </c>
      <c r="G91" s="11" t="s">
        <v>63</v>
      </c>
      <c r="H91" s="136">
        <v>1.541442</v>
      </c>
      <c r="I91" s="140">
        <v>1</v>
      </c>
      <c r="J91" s="136">
        <f>I91*$J$2</f>
        <v>0.06</v>
      </c>
      <c r="K91" s="136">
        <v>0</v>
      </c>
      <c r="L91" s="139"/>
      <c r="M91" s="139"/>
      <c r="N91" s="136"/>
      <c r="O91" s="11"/>
      <c r="P91" s="136"/>
      <c r="Q91" s="140"/>
      <c r="R91" s="136"/>
      <c r="S91" s="136"/>
      <c r="T91" s="136"/>
      <c r="U91" s="136">
        <f t="shared" si="23"/>
        <v>1.601442</v>
      </c>
    </row>
    <row r="92" spans="1:21" ht="15" hidden="1" outlineLevel="2">
      <c r="A92" s="6" t="s">
        <v>465</v>
      </c>
      <c r="B92" s="7" t="s">
        <v>58</v>
      </c>
      <c r="C92" s="7" t="s">
        <v>398</v>
      </c>
      <c r="D92" s="8" t="s">
        <v>466</v>
      </c>
      <c r="E92" s="42" t="s">
        <v>400</v>
      </c>
      <c r="F92" s="39" t="s">
        <v>53</v>
      </c>
      <c r="G92" s="11" t="s">
        <v>64</v>
      </c>
      <c r="H92" s="136">
        <v>3.9291042</v>
      </c>
      <c r="I92" s="140">
        <v>4</v>
      </c>
      <c r="J92" s="136">
        <f>I92*$J$2</f>
        <v>0.24</v>
      </c>
      <c r="K92" s="136">
        <v>0</v>
      </c>
      <c r="L92" s="139"/>
      <c r="M92" s="139"/>
      <c r="N92" s="136"/>
      <c r="O92" s="11"/>
      <c r="P92" s="136"/>
      <c r="Q92" s="140"/>
      <c r="R92" s="136"/>
      <c r="S92" s="136"/>
      <c r="T92" s="136"/>
      <c r="U92" s="136">
        <f t="shared" si="23"/>
        <v>4.1691042</v>
      </c>
    </row>
    <row r="93" spans="1:21" ht="15" hidden="1" outlineLevel="2">
      <c r="A93" s="6" t="s">
        <v>465</v>
      </c>
      <c r="B93" s="7" t="s">
        <v>58</v>
      </c>
      <c r="C93" s="7" t="s">
        <v>398</v>
      </c>
      <c r="D93" s="8" t="s">
        <v>466</v>
      </c>
      <c r="E93" s="42" t="s">
        <v>400</v>
      </c>
      <c r="F93" s="39" t="s">
        <v>53</v>
      </c>
      <c r="G93" s="24" t="s">
        <v>65</v>
      </c>
      <c r="H93" s="136">
        <v>30.912728</v>
      </c>
      <c r="I93" s="149">
        <v>64</v>
      </c>
      <c r="J93" s="136">
        <f>I93*$J$2</f>
        <v>3.84</v>
      </c>
      <c r="K93" s="136">
        <v>15</v>
      </c>
      <c r="L93" s="139"/>
      <c r="M93" s="139"/>
      <c r="N93" s="136"/>
      <c r="O93" s="11"/>
      <c r="P93" s="136"/>
      <c r="Q93" s="140"/>
      <c r="R93" s="136"/>
      <c r="S93" s="136"/>
      <c r="T93" s="136"/>
      <c r="U93" s="136">
        <f t="shared" si="23"/>
        <v>49.752728000000005</v>
      </c>
    </row>
    <row r="94" spans="1:21" ht="15" hidden="1" outlineLevel="2">
      <c r="A94" s="6" t="s">
        <v>465</v>
      </c>
      <c r="B94" s="7" t="s">
        <v>58</v>
      </c>
      <c r="C94" s="7" t="s">
        <v>398</v>
      </c>
      <c r="D94" s="8" t="s">
        <v>466</v>
      </c>
      <c r="E94" s="42" t="s">
        <v>400</v>
      </c>
      <c r="F94" s="39" t="s">
        <v>53</v>
      </c>
      <c r="G94" s="11" t="s">
        <v>66</v>
      </c>
      <c r="H94" s="136">
        <v>17.2589074</v>
      </c>
      <c r="I94" s="140">
        <v>20</v>
      </c>
      <c r="J94" s="136">
        <f>I94*$J$2</f>
        <v>1.2</v>
      </c>
      <c r="K94" s="136">
        <v>15</v>
      </c>
      <c r="L94" s="139"/>
      <c r="M94" s="139"/>
      <c r="N94" s="136"/>
      <c r="O94" s="11"/>
      <c r="P94" s="136"/>
      <c r="Q94" s="140"/>
      <c r="R94" s="136"/>
      <c r="S94" s="136"/>
      <c r="T94" s="136"/>
      <c r="U94" s="136">
        <f t="shared" si="23"/>
        <v>33.4589074</v>
      </c>
    </row>
    <row r="95" spans="1:21" ht="15" hidden="1" outlineLevel="2">
      <c r="A95" s="6" t="str">
        <f>A94</f>
        <v>M739</v>
      </c>
      <c r="B95" s="11" t="str">
        <f>B94</f>
        <v>DCM</v>
      </c>
      <c r="C95" s="11" t="str">
        <f>C94</f>
        <v>ASSESSMENT &amp; TAXATION</v>
      </c>
      <c r="D95" s="13" t="str">
        <f>D94</f>
        <v>706207</v>
      </c>
      <c r="E95" s="24" t="str">
        <f>E94</f>
        <v>72-30</v>
      </c>
      <c r="F95" s="39" t="s">
        <v>585</v>
      </c>
      <c r="G95" s="24" t="s">
        <v>585</v>
      </c>
      <c r="H95" s="136"/>
      <c r="I95" s="140"/>
      <c r="J95" s="136"/>
      <c r="K95" s="136"/>
      <c r="L95" s="139">
        <v>3</v>
      </c>
      <c r="M95" s="139">
        <v>0.01</v>
      </c>
      <c r="N95" s="136">
        <f>L95*M95*$N$2</f>
        <v>94.05</v>
      </c>
      <c r="O95" s="11"/>
      <c r="P95" s="136"/>
      <c r="Q95" s="140"/>
      <c r="R95" s="136"/>
      <c r="S95" s="136"/>
      <c r="T95" s="136"/>
      <c r="U95" s="136">
        <f t="shared" si="23"/>
        <v>94.05</v>
      </c>
    </row>
    <row r="96" spans="1:21" s="5" customFormat="1" ht="15.75" outlineLevel="1" collapsed="1">
      <c r="A96" s="170" t="s">
        <v>842</v>
      </c>
      <c r="B96" s="45"/>
      <c r="C96" s="45"/>
      <c r="D96" s="61"/>
      <c r="E96" s="44"/>
      <c r="F96" s="51"/>
      <c r="G96" s="45"/>
      <c r="H96" s="137">
        <f aca="true" t="shared" si="24" ref="H96:U96">SUBTOTAL(9,H90:H95)</f>
        <v>784.7135184</v>
      </c>
      <c r="I96" s="167">
        <f t="shared" si="24"/>
        <v>2136</v>
      </c>
      <c r="J96" s="137">
        <f t="shared" si="24"/>
        <v>210.04000000000002</v>
      </c>
      <c r="K96" s="137">
        <f t="shared" si="24"/>
        <v>150</v>
      </c>
      <c r="L96" s="141">
        <f t="shared" si="24"/>
        <v>3</v>
      </c>
      <c r="M96" s="141">
        <f t="shared" si="24"/>
        <v>0.01</v>
      </c>
      <c r="N96" s="137">
        <f t="shared" si="24"/>
        <v>94.05</v>
      </c>
      <c r="O96" s="46">
        <f t="shared" si="24"/>
        <v>0</v>
      </c>
      <c r="P96" s="137">
        <f t="shared" si="24"/>
        <v>0</v>
      </c>
      <c r="Q96" s="167">
        <f t="shared" si="24"/>
        <v>0</v>
      </c>
      <c r="R96" s="137">
        <f t="shared" si="24"/>
        <v>0</v>
      </c>
      <c r="S96" s="137">
        <f t="shared" si="24"/>
        <v>0</v>
      </c>
      <c r="T96" s="171">
        <f t="shared" si="24"/>
        <v>0</v>
      </c>
      <c r="U96" s="137">
        <f t="shared" si="24"/>
        <v>1238.8035183999998</v>
      </c>
    </row>
    <row r="97" spans="1:21" ht="15" hidden="1" outlineLevel="2">
      <c r="A97" s="9" t="s">
        <v>23</v>
      </c>
      <c r="B97" s="25" t="s">
        <v>58</v>
      </c>
      <c r="C97" s="16" t="s">
        <v>370</v>
      </c>
      <c r="D97" s="13">
        <v>704001</v>
      </c>
      <c r="E97" s="27" t="s">
        <v>372</v>
      </c>
      <c r="F97" s="20" t="s">
        <v>585</v>
      </c>
      <c r="G97" s="27" t="s">
        <v>585</v>
      </c>
      <c r="H97" s="136"/>
      <c r="I97" s="140"/>
      <c r="J97" s="136"/>
      <c r="K97" s="136"/>
      <c r="L97" s="139">
        <v>2</v>
      </c>
      <c r="M97" s="139">
        <v>0.1429</v>
      </c>
      <c r="N97" s="136">
        <f>L97*M97*$N$2</f>
        <v>895.983</v>
      </c>
      <c r="O97" s="11"/>
      <c r="P97" s="136"/>
      <c r="Q97" s="140"/>
      <c r="R97" s="136"/>
      <c r="S97" s="136"/>
      <c r="T97" s="136"/>
      <c r="U97" s="136">
        <f>H97+J97+K97+N97+P97+R97+S97+T97</f>
        <v>895.983</v>
      </c>
    </row>
    <row r="98" spans="1:21" s="5" customFormat="1" ht="15.75" outlineLevel="1" collapsed="1">
      <c r="A98" s="170" t="s">
        <v>843</v>
      </c>
      <c r="B98" s="45"/>
      <c r="C98" s="45"/>
      <c r="D98" s="61"/>
      <c r="E98" s="44"/>
      <c r="F98" s="51"/>
      <c r="G98" s="45"/>
      <c r="H98" s="137">
        <f aca="true" t="shared" si="25" ref="H98:U98">SUBTOTAL(9,H97:H97)</f>
        <v>0</v>
      </c>
      <c r="I98" s="167">
        <f t="shared" si="25"/>
        <v>0</v>
      </c>
      <c r="J98" s="137">
        <f t="shared" si="25"/>
        <v>0</v>
      </c>
      <c r="K98" s="137">
        <f t="shared" si="25"/>
        <v>0</v>
      </c>
      <c r="L98" s="141">
        <f t="shared" si="25"/>
        <v>2</v>
      </c>
      <c r="M98" s="141">
        <f t="shared" si="25"/>
        <v>0.1429</v>
      </c>
      <c r="N98" s="137">
        <f t="shared" si="25"/>
        <v>895.983</v>
      </c>
      <c r="O98" s="46">
        <f t="shared" si="25"/>
        <v>0</v>
      </c>
      <c r="P98" s="137">
        <f t="shared" si="25"/>
        <v>0</v>
      </c>
      <c r="Q98" s="167">
        <f t="shared" si="25"/>
        <v>0</v>
      </c>
      <c r="R98" s="137">
        <f t="shared" si="25"/>
        <v>0</v>
      </c>
      <c r="S98" s="137">
        <f t="shared" si="25"/>
        <v>0</v>
      </c>
      <c r="T98" s="171">
        <f t="shared" si="25"/>
        <v>0</v>
      </c>
      <c r="U98" s="137">
        <f t="shared" si="25"/>
        <v>895.983</v>
      </c>
    </row>
    <row r="99" spans="1:21" ht="15" hidden="1" outlineLevel="2">
      <c r="A99" s="6" t="s">
        <v>467</v>
      </c>
      <c r="B99" s="7" t="s">
        <v>58</v>
      </c>
      <c r="C99" s="7" t="s">
        <v>370</v>
      </c>
      <c r="D99" s="8" t="s">
        <v>468</v>
      </c>
      <c r="E99" s="42" t="s">
        <v>372</v>
      </c>
      <c r="F99" s="39" t="s">
        <v>53</v>
      </c>
      <c r="G99" s="24" t="s">
        <v>62</v>
      </c>
      <c r="H99" s="136">
        <v>501.88407780000017</v>
      </c>
      <c r="I99" s="149">
        <v>1503</v>
      </c>
      <c r="J99" s="136">
        <f>I99*$J$1</f>
        <v>150.3</v>
      </c>
      <c r="K99" s="136">
        <v>30</v>
      </c>
      <c r="L99" s="139"/>
      <c r="M99" s="139"/>
      <c r="N99" s="136"/>
      <c r="O99" s="11"/>
      <c r="P99" s="136"/>
      <c r="Q99" s="140"/>
      <c r="R99" s="136"/>
      <c r="S99" s="136"/>
      <c r="T99" s="136"/>
      <c r="U99" s="136">
        <f aca="true" t="shared" si="26" ref="U99:U107">H99+J99+K99+N99+P99+R99+S99+T99</f>
        <v>682.1840778000002</v>
      </c>
    </row>
    <row r="100" spans="1:21" ht="15" hidden="1" outlineLevel="2">
      <c r="A100" s="6" t="s">
        <v>467</v>
      </c>
      <c r="B100" s="7" t="s">
        <v>58</v>
      </c>
      <c r="C100" s="7" t="s">
        <v>370</v>
      </c>
      <c r="D100" s="8" t="s">
        <v>468</v>
      </c>
      <c r="E100" s="42" t="s">
        <v>372</v>
      </c>
      <c r="F100" s="39" t="s">
        <v>53</v>
      </c>
      <c r="G100" s="24" t="s">
        <v>63</v>
      </c>
      <c r="H100" s="136">
        <v>330.613094</v>
      </c>
      <c r="I100" s="149">
        <v>53</v>
      </c>
      <c r="J100" s="136">
        <f>I100*$J$2</f>
        <v>3.1799999999999997</v>
      </c>
      <c r="K100" s="136">
        <v>15</v>
      </c>
      <c r="L100" s="139"/>
      <c r="M100" s="139"/>
      <c r="N100" s="136"/>
      <c r="O100" s="11"/>
      <c r="P100" s="136"/>
      <c r="Q100" s="140"/>
      <c r="R100" s="136"/>
      <c r="S100" s="136"/>
      <c r="T100" s="136"/>
      <c r="U100" s="136">
        <f t="shared" si="26"/>
        <v>348.793094</v>
      </c>
    </row>
    <row r="101" spans="1:21" ht="15" hidden="1" outlineLevel="2">
      <c r="A101" s="6" t="s">
        <v>467</v>
      </c>
      <c r="B101" s="7" t="s">
        <v>58</v>
      </c>
      <c r="C101" s="7" t="s">
        <v>370</v>
      </c>
      <c r="D101" s="8" t="s">
        <v>468</v>
      </c>
      <c r="E101" s="42" t="s">
        <v>372</v>
      </c>
      <c r="F101" s="39" t="s">
        <v>53</v>
      </c>
      <c r="G101" s="24" t="s">
        <v>64</v>
      </c>
      <c r="H101" s="136">
        <v>68.4609968</v>
      </c>
      <c r="I101" s="149">
        <v>47</v>
      </c>
      <c r="J101" s="136">
        <f>I101*$J$2</f>
        <v>2.82</v>
      </c>
      <c r="K101" s="136">
        <v>15</v>
      </c>
      <c r="L101" s="139"/>
      <c r="M101" s="139"/>
      <c r="N101" s="136"/>
      <c r="O101" s="11"/>
      <c r="P101" s="136"/>
      <c r="Q101" s="140"/>
      <c r="R101" s="136"/>
      <c r="S101" s="136"/>
      <c r="T101" s="136"/>
      <c r="U101" s="136">
        <f t="shared" si="26"/>
        <v>86.2809968</v>
      </c>
    </row>
    <row r="102" spans="1:21" ht="15" hidden="1" outlineLevel="2">
      <c r="A102" s="6" t="s">
        <v>467</v>
      </c>
      <c r="B102" s="7" t="s">
        <v>58</v>
      </c>
      <c r="C102" s="7" t="s">
        <v>370</v>
      </c>
      <c r="D102" s="8" t="s">
        <v>468</v>
      </c>
      <c r="E102" s="42" t="s">
        <v>372</v>
      </c>
      <c r="F102" s="39" t="s">
        <v>53</v>
      </c>
      <c r="G102" s="24" t="s">
        <v>65</v>
      </c>
      <c r="H102" s="136">
        <v>160.59309</v>
      </c>
      <c r="I102" s="149">
        <v>351</v>
      </c>
      <c r="J102" s="136">
        <f>I102*$J$2</f>
        <v>21.06</v>
      </c>
      <c r="K102" s="136">
        <v>105</v>
      </c>
      <c r="L102" s="139"/>
      <c r="M102" s="139"/>
      <c r="N102" s="136"/>
      <c r="O102" s="11"/>
      <c r="P102" s="136"/>
      <c r="Q102" s="140"/>
      <c r="R102" s="136"/>
      <c r="S102" s="136"/>
      <c r="T102" s="136"/>
      <c r="U102" s="136">
        <f t="shared" si="26"/>
        <v>286.65309</v>
      </c>
    </row>
    <row r="103" spans="1:21" ht="15" hidden="1" outlineLevel="2">
      <c r="A103" s="6" t="s">
        <v>467</v>
      </c>
      <c r="B103" s="7" t="s">
        <v>58</v>
      </c>
      <c r="C103" s="7" t="s">
        <v>370</v>
      </c>
      <c r="D103" s="8" t="s">
        <v>468</v>
      </c>
      <c r="E103" s="42" t="s">
        <v>372</v>
      </c>
      <c r="F103" s="39" t="s">
        <v>53</v>
      </c>
      <c r="G103" s="24" t="s">
        <v>66</v>
      </c>
      <c r="H103" s="136">
        <v>42.961141999999995</v>
      </c>
      <c r="I103" s="149">
        <v>64</v>
      </c>
      <c r="J103" s="136">
        <f>I103*$J$2</f>
        <v>3.84</v>
      </c>
      <c r="K103" s="136">
        <v>0</v>
      </c>
      <c r="L103" s="139"/>
      <c r="M103" s="139"/>
      <c r="N103" s="136"/>
      <c r="O103" s="11"/>
      <c r="P103" s="136"/>
      <c r="Q103" s="140"/>
      <c r="R103" s="136"/>
      <c r="S103" s="136"/>
      <c r="T103" s="136"/>
      <c r="U103" s="136">
        <f t="shared" si="26"/>
        <v>46.801142</v>
      </c>
    </row>
    <row r="104" spans="1:21" ht="15" hidden="1" outlineLevel="2">
      <c r="A104" s="6" t="s">
        <v>467</v>
      </c>
      <c r="B104" s="7" t="s">
        <v>58</v>
      </c>
      <c r="C104" s="7" t="s">
        <v>370</v>
      </c>
      <c r="D104" s="8" t="s">
        <v>468</v>
      </c>
      <c r="E104" s="42" t="s">
        <v>372</v>
      </c>
      <c r="F104" s="39" t="s">
        <v>53</v>
      </c>
      <c r="G104" s="24" t="s">
        <v>167</v>
      </c>
      <c r="H104" s="136">
        <v>2.0951028000000003</v>
      </c>
      <c r="I104" s="149">
        <v>2</v>
      </c>
      <c r="J104" s="136">
        <f>I104*$J$2</f>
        <v>0.12</v>
      </c>
      <c r="K104" s="136">
        <v>15</v>
      </c>
      <c r="L104" s="139"/>
      <c r="M104" s="139"/>
      <c r="N104" s="136"/>
      <c r="O104" s="11"/>
      <c r="P104" s="136"/>
      <c r="Q104" s="140"/>
      <c r="R104" s="136"/>
      <c r="S104" s="136"/>
      <c r="T104" s="136"/>
      <c r="U104" s="136">
        <f t="shared" si="26"/>
        <v>17.2151028</v>
      </c>
    </row>
    <row r="105" spans="1:21" ht="15" hidden="1" outlineLevel="2">
      <c r="A105" s="6" t="str">
        <f>A104</f>
        <v>M741</v>
      </c>
      <c r="B105" s="11" t="str">
        <f>B104</f>
        <v>DCM</v>
      </c>
      <c r="C105" s="11" t="str">
        <f>C104</f>
        <v>CFO</v>
      </c>
      <c r="D105" s="13" t="str">
        <f>D104</f>
        <v>704001</v>
      </c>
      <c r="E105" s="24" t="str">
        <f>E104</f>
        <v>72-01</v>
      </c>
      <c r="F105" s="39" t="s">
        <v>585</v>
      </c>
      <c r="G105" s="24" t="s">
        <v>585</v>
      </c>
      <c r="H105" s="136"/>
      <c r="I105" s="149"/>
      <c r="J105" s="136"/>
      <c r="K105" s="136"/>
      <c r="L105" s="139">
        <v>2</v>
      </c>
      <c r="M105" s="139">
        <v>1</v>
      </c>
      <c r="N105" s="136">
        <f>L105*M105*$N$2</f>
        <v>6270</v>
      </c>
      <c r="O105" s="11"/>
      <c r="P105" s="136"/>
      <c r="Q105" s="140"/>
      <c r="R105" s="136"/>
      <c r="S105" s="136"/>
      <c r="T105" s="136"/>
      <c r="U105" s="136">
        <f t="shared" si="26"/>
        <v>6270</v>
      </c>
    </row>
    <row r="106" spans="1:21" ht="15" hidden="1" outlineLevel="2">
      <c r="A106" s="28" t="s">
        <v>467</v>
      </c>
      <c r="B106" s="11" t="str">
        <f aca="true" t="shared" si="27" ref="B106:E107">B105</f>
        <v>DCM</v>
      </c>
      <c r="C106" s="11" t="str">
        <f t="shared" si="27"/>
        <v>CFO</v>
      </c>
      <c r="D106" s="13" t="str">
        <f t="shared" si="27"/>
        <v>704001</v>
      </c>
      <c r="E106" s="38" t="str">
        <f t="shared" si="27"/>
        <v>72-01</v>
      </c>
      <c r="F106" s="20" t="s">
        <v>615</v>
      </c>
      <c r="G106" s="11" t="s">
        <v>615</v>
      </c>
      <c r="H106" s="136"/>
      <c r="I106" s="140"/>
      <c r="J106" s="136"/>
      <c r="K106" s="136"/>
      <c r="L106" s="139"/>
      <c r="M106" s="139"/>
      <c r="N106" s="136"/>
      <c r="O106" s="29">
        <f>2.25+2</f>
        <v>4.25</v>
      </c>
      <c r="P106" s="136">
        <f>O106*$P$2</f>
        <v>306</v>
      </c>
      <c r="Q106" s="140"/>
      <c r="R106" s="136"/>
      <c r="S106" s="136"/>
      <c r="T106" s="136"/>
      <c r="U106" s="136">
        <f t="shared" si="26"/>
        <v>306</v>
      </c>
    </row>
    <row r="107" spans="1:21" ht="15" hidden="1" outlineLevel="2">
      <c r="A107" s="36" t="s">
        <v>670</v>
      </c>
      <c r="B107" s="11" t="str">
        <f t="shared" si="27"/>
        <v>DCM</v>
      </c>
      <c r="C107" s="11" t="str">
        <f t="shared" si="27"/>
        <v>CFO</v>
      </c>
      <c r="D107" s="13" t="str">
        <f t="shared" si="27"/>
        <v>704001</v>
      </c>
      <c r="E107" s="27" t="str">
        <f t="shared" si="27"/>
        <v>72-01</v>
      </c>
      <c r="F107" s="20" t="s">
        <v>683</v>
      </c>
      <c r="G107" s="11" t="s">
        <v>683</v>
      </c>
      <c r="H107" s="136"/>
      <c r="I107" s="140"/>
      <c r="J107" s="136"/>
      <c r="K107" s="136"/>
      <c r="L107" s="139"/>
      <c r="M107" s="139"/>
      <c r="N107" s="136"/>
      <c r="O107" s="34"/>
      <c r="P107" s="136"/>
      <c r="Q107" s="140"/>
      <c r="R107" s="136"/>
      <c r="S107" s="136"/>
      <c r="T107" s="150">
        <v>7.86</v>
      </c>
      <c r="U107" s="136">
        <f t="shared" si="26"/>
        <v>7.86</v>
      </c>
    </row>
    <row r="108" spans="1:21" s="5" customFormat="1" ht="15.75" outlineLevel="1" collapsed="1">
      <c r="A108" s="170" t="s">
        <v>844</v>
      </c>
      <c r="B108" s="45"/>
      <c r="C108" s="45"/>
      <c r="D108" s="61"/>
      <c r="E108" s="44"/>
      <c r="F108" s="51"/>
      <c r="G108" s="45"/>
      <c r="H108" s="137">
        <f aca="true" t="shared" si="28" ref="H108:U108">SUBTOTAL(9,H99:H107)</f>
        <v>1106.6075034</v>
      </c>
      <c r="I108" s="167">
        <f t="shared" si="28"/>
        <v>2020</v>
      </c>
      <c r="J108" s="137">
        <f t="shared" si="28"/>
        <v>181.32000000000002</v>
      </c>
      <c r="K108" s="137">
        <f t="shared" si="28"/>
        <v>180</v>
      </c>
      <c r="L108" s="141">
        <f t="shared" si="28"/>
        <v>2</v>
      </c>
      <c r="M108" s="141">
        <f t="shared" si="28"/>
        <v>1</v>
      </c>
      <c r="N108" s="137">
        <f t="shared" si="28"/>
        <v>6270</v>
      </c>
      <c r="O108" s="46">
        <f t="shared" si="28"/>
        <v>4.25</v>
      </c>
      <c r="P108" s="137">
        <f t="shared" si="28"/>
        <v>306</v>
      </c>
      <c r="Q108" s="167">
        <f t="shared" si="28"/>
        <v>0</v>
      </c>
      <c r="R108" s="137">
        <f t="shared" si="28"/>
        <v>0</v>
      </c>
      <c r="S108" s="137">
        <f t="shared" si="28"/>
        <v>0</v>
      </c>
      <c r="T108" s="171">
        <f t="shared" si="28"/>
        <v>7.86</v>
      </c>
      <c r="U108" s="137">
        <f t="shared" si="28"/>
        <v>8051.7875034</v>
      </c>
    </row>
    <row r="109" spans="1:21" ht="15" hidden="1" outlineLevel="2">
      <c r="A109" s="6" t="s">
        <v>469</v>
      </c>
      <c r="B109" s="7" t="s">
        <v>58</v>
      </c>
      <c r="C109" s="7" t="s">
        <v>455</v>
      </c>
      <c r="D109" s="8" t="s">
        <v>470</v>
      </c>
      <c r="E109" s="42" t="s">
        <v>457</v>
      </c>
      <c r="F109" s="39" t="s">
        <v>53</v>
      </c>
      <c r="G109" s="24" t="s">
        <v>62</v>
      </c>
      <c r="H109" s="136">
        <v>3847.0166461999997</v>
      </c>
      <c r="I109" s="149">
        <v>11679</v>
      </c>
      <c r="J109" s="136">
        <f>I109*$J$1</f>
        <v>1167.9</v>
      </c>
      <c r="K109" s="136">
        <v>15</v>
      </c>
      <c r="L109" s="139"/>
      <c r="M109" s="139"/>
      <c r="N109" s="136"/>
      <c r="O109" s="11"/>
      <c r="P109" s="136"/>
      <c r="Q109" s="140"/>
      <c r="R109" s="136"/>
      <c r="S109" s="136"/>
      <c r="T109" s="136"/>
      <c r="U109" s="136">
        <f aca="true" t="shared" si="29" ref="U109:U116">H109+J109+K109+N109+P109+R109+S109+T109</f>
        <v>5029.916646199999</v>
      </c>
    </row>
    <row r="110" spans="1:21" ht="15" hidden="1" outlineLevel="2">
      <c r="A110" s="6" t="s">
        <v>469</v>
      </c>
      <c r="B110" s="7" t="s">
        <v>58</v>
      </c>
      <c r="C110" s="7" t="s">
        <v>455</v>
      </c>
      <c r="D110" s="8" t="s">
        <v>470</v>
      </c>
      <c r="E110" s="42" t="s">
        <v>457</v>
      </c>
      <c r="F110" s="39" t="s">
        <v>53</v>
      </c>
      <c r="G110" s="24" t="s">
        <v>63</v>
      </c>
      <c r="H110" s="136">
        <v>68.200944</v>
      </c>
      <c r="I110" s="149">
        <v>24</v>
      </c>
      <c r="J110" s="136">
        <f>I110*$J$2</f>
        <v>1.44</v>
      </c>
      <c r="K110" s="136">
        <v>0</v>
      </c>
      <c r="L110" s="139"/>
      <c r="M110" s="139"/>
      <c r="N110" s="136"/>
      <c r="O110" s="11"/>
      <c r="P110" s="136"/>
      <c r="Q110" s="140"/>
      <c r="R110" s="136"/>
      <c r="S110" s="136"/>
      <c r="T110" s="136"/>
      <c r="U110" s="136">
        <f t="shared" si="29"/>
        <v>69.640944</v>
      </c>
    </row>
    <row r="111" spans="1:21" ht="15" hidden="1" outlineLevel="2">
      <c r="A111" s="6" t="s">
        <v>469</v>
      </c>
      <c r="B111" s="7" t="s">
        <v>58</v>
      </c>
      <c r="C111" s="7" t="s">
        <v>455</v>
      </c>
      <c r="D111" s="8" t="s">
        <v>470</v>
      </c>
      <c r="E111" s="42" t="s">
        <v>457</v>
      </c>
      <c r="F111" s="39" t="s">
        <v>53</v>
      </c>
      <c r="G111" s="24" t="s">
        <v>64</v>
      </c>
      <c r="H111" s="136">
        <v>249.55736259999998</v>
      </c>
      <c r="I111" s="149">
        <v>190</v>
      </c>
      <c r="J111" s="136">
        <f>I111*$J$2</f>
        <v>11.4</v>
      </c>
      <c r="K111" s="136">
        <v>15</v>
      </c>
      <c r="L111" s="139"/>
      <c r="M111" s="139"/>
      <c r="N111" s="136"/>
      <c r="O111" s="11"/>
      <c r="P111" s="136"/>
      <c r="Q111" s="140"/>
      <c r="R111" s="136"/>
      <c r="S111" s="136"/>
      <c r="T111" s="136"/>
      <c r="U111" s="136">
        <f t="shared" si="29"/>
        <v>275.95736259999995</v>
      </c>
    </row>
    <row r="112" spans="1:21" ht="15" hidden="1" outlineLevel="2">
      <c r="A112" s="6" t="s">
        <v>469</v>
      </c>
      <c r="B112" s="7" t="s">
        <v>58</v>
      </c>
      <c r="C112" s="7" t="s">
        <v>455</v>
      </c>
      <c r="D112" s="8" t="s">
        <v>470</v>
      </c>
      <c r="E112" s="42" t="s">
        <v>457</v>
      </c>
      <c r="F112" s="39" t="s">
        <v>53</v>
      </c>
      <c r="G112" s="24" t="s">
        <v>65</v>
      </c>
      <c r="H112" s="136">
        <v>377.28732859999974</v>
      </c>
      <c r="I112" s="149">
        <v>694</v>
      </c>
      <c r="J112" s="136">
        <f>I112*$J$2</f>
        <v>41.64</v>
      </c>
      <c r="K112" s="136">
        <v>105</v>
      </c>
      <c r="L112" s="139"/>
      <c r="M112" s="139"/>
      <c r="N112" s="136"/>
      <c r="O112" s="11"/>
      <c r="P112" s="136"/>
      <c r="Q112" s="140"/>
      <c r="R112" s="136"/>
      <c r="S112" s="136"/>
      <c r="T112" s="136"/>
      <c r="U112" s="136">
        <f t="shared" si="29"/>
        <v>523.9273285999998</v>
      </c>
    </row>
    <row r="113" spans="1:21" ht="15" hidden="1" outlineLevel="2">
      <c r="A113" s="6" t="s">
        <v>469</v>
      </c>
      <c r="B113" s="7" t="s">
        <v>58</v>
      </c>
      <c r="C113" s="7" t="s">
        <v>455</v>
      </c>
      <c r="D113" s="8" t="s">
        <v>470</v>
      </c>
      <c r="E113" s="42" t="s">
        <v>457</v>
      </c>
      <c r="F113" s="39" t="s">
        <v>53</v>
      </c>
      <c r="G113" s="24" t="s">
        <v>66</v>
      </c>
      <c r="H113" s="136">
        <v>73.5162974</v>
      </c>
      <c r="I113" s="149">
        <v>70</v>
      </c>
      <c r="J113" s="136">
        <f>I113*$J$2</f>
        <v>4.2</v>
      </c>
      <c r="K113" s="136">
        <v>45</v>
      </c>
      <c r="L113" s="139"/>
      <c r="M113" s="139"/>
      <c r="N113" s="136"/>
      <c r="O113" s="11"/>
      <c r="P113" s="136"/>
      <c r="Q113" s="140"/>
      <c r="R113" s="136"/>
      <c r="S113" s="136"/>
      <c r="T113" s="136"/>
      <c r="U113" s="136">
        <f t="shared" si="29"/>
        <v>122.7162974</v>
      </c>
    </row>
    <row r="114" spans="1:21" ht="15" hidden="1" outlineLevel="2">
      <c r="A114" s="6" t="s">
        <v>469</v>
      </c>
      <c r="B114" s="7" t="s">
        <v>58</v>
      </c>
      <c r="C114" s="7" t="s">
        <v>455</v>
      </c>
      <c r="D114" s="8" t="s">
        <v>470</v>
      </c>
      <c r="E114" s="42" t="s">
        <v>457</v>
      </c>
      <c r="F114" s="39" t="s">
        <v>53</v>
      </c>
      <c r="G114" s="24" t="s">
        <v>248</v>
      </c>
      <c r="H114" s="136">
        <v>10.80058</v>
      </c>
      <c r="I114" s="149">
        <v>1</v>
      </c>
      <c r="J114" s="136">
        <f>I114*$J$2</f>
        <v>0.06</v>
      </c>
      <c r="K114" s="136">
        <v>0</v>
      </c>
      <c r="L114" s="139"/>
      <c r="M114" s="139"/>
      <c r="N114" s="136"/>
      <c r="O114" s="11"/>
      <c r="P114" s="136"/>
      <c r="Q114" s="140"/>
      <c r="R114" s="136"/>
      <c r="S114" s="136"/>
      <c r="T114" s="136"/>
      <c r="U114" s="136">
        <f t="shared" si="29"/>
        <v>10.86058</v>
      </c>
    </row>
    <row r="115" spans="1:21" ht="15" hidden="1" outlineLevel="2">
      <c r="A115" s="28" t="s">
        <v>469</v>
      </c>
      <c r="B115" s="11" t="str">
        <f>B114</f>
        <v>DCM</v>
      </c>
      <c r="C115" s="11" t="str">
        <f>C114</f>
        <v>FINANCE &amp; RISK</v>
      </c>
      <c r="D115" s="13" t="str">
        <f>D114</f>
        <v>704200</v>
      </c>
      <c r="E115" s="38" t="str">
        <f>E114</f>
        <v>72-10</v>
      </c>
      <c r="F115" s="20" t="s">
        <v>615</v>
      </c>
      <c r="G115" s="11" t="s">
        <v>615</v>
      </c>
      <c r="H115" s="136"/>
      <c r="I115" s="140"/>
      <c r="J115" s="136"/>
      <c r="K115" s="136"/>
      <c r="L115" s="139"/>
      <c r="M115" s="139"/>
      <c r="N115" s="136"/>
      <c r="O115" s="29">
        <f>0.25+2.5</f>
        <v>2.75</v>
      </c>
      <c r="P115" s="136">
        <f>O115*$P$2</f>
        <v>198</v>
      </c>
      <c r="Q115" s="140"/>
      <c r="R115" s="136"/>
      <c r="S115" s="136"/>
      <c r="T115" s="136"/>
      <c r="U115" s="136">
        <f t="shared" si="29"/>
        <v>198</v>
      </c>
    </row>
    <row r="116" spans="1:21" ht="15" hidden="1" outlineLevel="2">
      <c r="A116" s="28" t="s">
        <v>469</v>
      </c>
      <c r="B116" s="11" t="str">
        <f>B114</f>
        <v>DCM</v>
      </c>
      <c r="C116" s="11" t="str">
        <f>C114</f>
        <v>FINANCE &amp; RISK</v>
      </c>
      <c r="D116" s="13" t="str">
        <f>D114</f>
        <v>704200</v>
      </c>
      <c r="E116" s="38" t="str">
        <f>E114</f>
        <v>72-10</v>
      </c>
      <c r="F116" s="20" t="s">
        <v>584</v>
      </c>
      <c r="G116" s="11" t="s">
        <v>584</v>
      </c>
      <c r="H116" s="136"/>
      <c r="I116" s="140"/>
      <c r="J116" s="136"/>
      <c r="K116" s="136"/>
      <c r="L116" s="139"/>
      <c r="M116" s="139"/>
      <c r="N116" s="136"/>
      <c r="O116" s="29"/>
      <c r="P116" s="136"/>
      <c r="Q116" s="140">
        <f>13584+3395+3380+3390+3424+3347+3359+3319+5830+3320+3316+3298+3298+3268+3307+3299+3309+1166+1208+1176</f>
        <v>72993</v>
      </c>
      <c r="R116" s="136">
        <f>588.89+132+131+132+132+130+131+144+195+144+145+147+147+144+144+144+144+86.9+88+87</f>
        <v>3136.79</v>
      </c>
      <c r="S116" s="136">
        <f>Q116*$S$2</f>
        <v>729.9300000000001</v>
      </c>
      <c r="T116" s="136"/>
      <c r="U116" s="136">
        <f t="shared" si="29"/>
        <v>3866.7200000000003</v>
      </c>
    </row>
    <row r="117" spans="1:21" s="5" customFormat="1" ht="15.75" outlineLevel="1" collapsed="1">
      <c r="A117" s="170" t="s">
        <v>845</v>
      </c>
      <c r="B117" s="45"/>
      <c r="C117" s="45"/>
      <c r="D117" s="61"/>
      <c r="E117" s="44"/>
      <c r="F117" s="51"/>
      <c r="G117" s="45"/>
      <c r="H117" s="137">
        <f aca="true" t="shared" si="30" ref="H117:U117">SUBTOTAL(9,H109:H116)</f>
        <v>4626.3791587999995</v>
      </c>
      <c r="I117" s="167">
        <f t="shared" si="30"/>
        <v>12658</v>
      </c>
      <c r="J117" s="137">
        <f t="shared" si="30"/>
        <v>1226.6400000000003</v>
      </c>
      <c r="K117" s="137">
        <f t="shared" si="30"/>
        <v>180</v>
      </c>
      <c r="L117" s="141">
        <f t="shared" si="30"/>
        <v>0</v>
      </c>
      <c r="M117" s="141">
        <f t="shared" si="30"/>
        <v>0</v>
      </c>
      <c r="N117" s="137">
        <f t="shared" si="30"/>
        <v>0</v>
      </c>
      <c r="O117" s="46">
        <f t="shared" si="30"/>
        <v>2.75</v>
      </c>
      <c r="P117" s="137">
        <f t="shared" si="30"/>
        <v>198</v>
      </c>
      <c r="Q117" s="167">
        <f t="shared" si="30"/>
        <v>72993</v>
      </c>
      <c r="R117" s="137">
        <f t="shared" si="30"/>
        <v>3136.79</v>
      </c>
      <c r="S117" s="137">
        <f t="shared" si="30"/>
        <v>729.9300000000001</v>
      </c>
      <c r="T117" s="171">
        <f t="shared" si="30"/>
        <v>0</v>
      </c>
      <c r="U117" s="137">
        <f t="shared" si="30"/>
        <v>10097.7391588</v>
      </c>
    </row>
    <row r="118" spans="1:21" ht="15" hidden="1" outlineLevel="2">
      <c r="A118" s="6" t="s">
        <v>471</v>
      </c>
      <c r="B118" s="7" t="s">
        <v>58</v>
      </c>
      <c r="C118" s="7" t="s">
        <v>455</v>
      </c>
      <c r="D118" s="8" t="s">
        <v>472</v>
      </c>
      <c r="E118" s="42" t="s">
        <v>457</v>
      </c>
      <c r="F118" s="39" t="s">
        <v>53</v>
      </c>
      <c r="G118" s="24" t="s">
        <v>62</v>
      </c>
      <c r="H118" s="136">
        <v>347.060385</v>
      </c>
      <c r="I118" s="149">
        <v>1049</v>
      </c>
      <c r="J118" s="136">
        <f>I118*$J$1</f>
        <v>104.9</v>
      </c>
      <c r="K118" s="136">
        <v>135</v>
      </c>
      <c r="L118" s="139"/>
      <c r="M118" s="139"/>
      <c r="N118" s="136"/>
      <c r="O118" s="11"/>
      <c r="P118" s="136"/>
      <c r="Q118" s="140"/>
      <c r="R118" s="136"/>
      <c r="S118" s="136"/>
      <c r="T118" s="136"/>
      <c r="U118" s="136">
        <f aca="true" t="shared" si="31" ref="U118:U124">H118+J118+K118+N118+P118+R118+S118+T118</f>
        <v>586.960385</v>
      </c>
    </row>
    <row r="119" spans="1:21" ht="15" hidden="1" outlineLevel="2">
      <c r="A119" s="6" t="s">
        <v>471</v>
      </c>
      <c r="B119" s="7" t="s">
        <v>58</v>
      </c>
      <c r="C119" s="7" t="s">
        <v>455</v>
      </c>
      <c r="D119" s="8" t="s">
        <v>472</v>
      </c>
      <c r="E119" s="42" t="s">
        <v>457</v>
      </c>
      <c r="F119" s="39" t="s">
        <v>53</v>
      </c>
      <c r="G119" s="24" t="s">
        <v>63</v>
      </c>
      <c r="H119" s="136">
        <v>14.3521882</v>
      </c>
      <c r="I119" s="149">
        <v>5</v>
      </c>
      <c r="J119" s="136">
        <f>I119*$J$2</f>
        <v>0.3</v>
      </c>
      <c r="K119" s="136">
        <v>0</v>
      </c>
      <c r="L119" s="139"/>
      <c r="M119" s="139"/>
      <c r="N119" s="136"/>
      <c r="O119" s="11"/>
      <c r="P119" s="136"/>
      <c r="Q119" s="140"/>
      <c r="R119" s="136"/>
      <c r="S119" s="136"/>
      <c r="T119" s="136"/>
      <c r="U119" s="136">
        <f t="shared" si="31"/>
        <v>14.652188200000001</v>
      </c>
    </row>
    <row r="120" spans="1:21" ht="15" hidden="1" outlineLevel="2">
      <c r="A120" s="6" t="s">
        <v>471</v>
      </c>
      <c r="B120" s="7" t="s">
        <v>58</v>
      </c>
      <c r="C120" s="7" t="s">
        <v>455</v>
      </c>
      <c r="D120" s="8" t="s">
        <v>472</v>
      </c>
      <c r="E120" s="42" t="s">
        <v>457</v>
      </c>
      <c r="F120" s="39" t="s">
        <v>53</v>
      </c>
      <c r="G120" s="11" t="s">
        <v>64</v>
      </c>
      <c r="H120" s="136">
        <v>5.5470939999999995</v>
      </c>
      <c r="I120" s="140">
        <v>3</v>
      </c>
      <c r="J120" s="136">
        <f>I120*$J$2</f>
        <v>0.18</v>
      </c>
      <c r="K120" s="136">
        <v>0</v>
      </c>
      <c r="L120" s="139"/>
      <c r="M120" s="139"/>
      <c r="N120" s="136"/>
      <c r="O120" s="11"/>
      <c r="P120" s="136"/>
      <c r="Q120" s="140"/>
      <c r="R120" s="136"/>
      <c r="S120" s="136"/>
      <c r="T120" s="136"/>
      <c r="U120" s="136">
        <f t="shared" si="31"/>
        <v>5.727093999999999</v>
      </c>
    </row>
    <row r="121" spans="1:21" ht="15" hidden="1" outlineLevel="2">
      <c r="A121" s="6" t="s">
        <v>471</v>
      </c>
      <c r="B121" s="7" t="s">
        <v>58</v>
      </c>
      <c r="C121" s="7" t="s">
        <v>455</v>
      </c>
      <c r="D121" s="8" t="s">
        <v>472</v>
      </c>
      <c r="E121" s="42" t="s">
        <v>457</v>
      </c>
      <c r="F121" s="39" t="s">
        <v>53</v>
      </c>
      <c r="G121" s="24" t="s">
        <v>65</v>
      </c>
      <c r="H121" s="136">
        <v>69.668984</v>
      </c>
      <c r="I121" s="149">
        <v>162</v>
      </c>
      <c r="J121" s="136">
        <f>I121*$J$2</f>
        <v>9.719999999999999</v>
      </c>
      <c r="K121" s="136">
        <v>30</v>
      </c>
      <c r="L121" s="139"/>
      <c r="M121" s="139"/>
      <c r="N121" s="136"/>
      <c r="O121" s="11"/>
      <c r="P121" s="136"/>
      <c r="Q121" s="140"/>
      <c r="R121" s="136"/>
      <c r="S121" s="136"/>
      <c r="T121" s="136"/>
      <c r="U121" s="136">
        <f t="shared" si="31"/>
        <v>109.388984</v>
      </c>
    </row>
    <row r="122" spans="1:21" ht="15" hidden="1" outlineLevel="2">
      <c r="A122" s="6" t="s">
        <v>471</v>
      </c>
      <c r="B122" s="7" t="s">
        <v>58</v>
      </c>
      <c r="C122" s="7" t="s">
        <v>455</v>
      </c>
      <c r="D122" s="8" t="s">
        <v>472</v>
      </c>
      <c r="E122" s="42" t="s">
        <v>457</v>
      </c>
      <c r="F122" s="39" t="s">
        <v>53</v>
      </c>
      <c r="G122" s="24" t="s">
        <v>66</v>
      </c>
      <c r="H122" s="136">
        <v>0.5798758</v>
      </c>
      <c r="I122" s="149">
        <v>1</v>
      </c>
      <c r="J122" s="136">
        <f>I122*$J$2</f>
        <v>0.06</v>
      </c>
      <c r="K122" s="136">
        <v>0</v>
      </c>
      <c r="L122" s="139"/>
      <c r="M122" s="139"/>
      <c r="N122" s="136"/>
      <c r="O122" s="11"/>
      <c r="P122" s="136"/>
      <c r="Q122" s="140"/>
      <c r="R122" s="136"/>
      <c r="S122" s="136"/>
      <c r="T122" s="136"/>
      <c r="U122" s="136">
        <f t="shared" si="31"/>
        <v>0.6398758</v>
      </c>
    </row>
    <row r="123" spans="1:21" ht="15" hidden="1" outlineLevel="2">
      <c r="A123" s="6" t="s">
        <v>471</v>
      </c>
      <c r="B123" s="7" t="s">
        <v>58</v>
      </c>
      <c r="C123" s="7" t="s">
        <v>455</v>
      </c>
      <c r="D123" s="8" t="s">
        <v>472</v>
      </c>
      <c r="E123" s="42" t="s">
        <v>457</v>
      </c>
      <c r="F123" s="39" t="s">
        <v>53</v>
      </c>
      <c r="G123" s="24" t="s">
        <v>167</v>
      </c>
      <c r="H123" s="136">
        <v>4.813073999999999</v>
      </c>
      <c r="I123" s="149">
        <v>9</v>
      </c>
      <c r="J123" s="136">
        <f>I123*$J$2</f>
        <v>0.54</v>
      </c>
      <c r="K123" s="136">
        <v>15</v>
      </c>
      <c r="L123" s="139"/>
      <c r="M123" s="139"/>
      <c r="N123" s="136"/>
      <c r="O123" s="11"/>
      <c r="P123" s="136"/>
      <c r="Q123" s="140"/>
      <c r="R123" s="136"/>
      <c r="S123" s="136"/>
      <c r="T123" s="136"/>
      <c r="U123" s="136">
        <f t="shared" si="31"/>
        <v>20.353074</v>
      </c>
    </row>
    <row r="124" spans="1:21" ht="15" hidden="1" outlineLevel="2">
      <c r="A124" s="36" t="s">
        <v>671</v>
      </c>
      <c r="B124" s="11" t="str">
        <f>B123</f>
        <v>DCM</v>
      </c>
      <c r="C124" s="11" t="str">
        <f>C123</f>
        <v>FINANCE &amp; RISK</v>
      </c>
      <c r="D124" s="13" t="str">
        <f>D123</f>
        <v>704700</v>
      </c>
      <c r="E124" s="27" t="str">
        <f>E123</f>
        <v>72-10</v>
      </c>
      <c r="F124" s="20" t="s">
        <v>683</v>
      </c>
      <c r="G124" s="11" t="s">
        <v>683</v>
      </c>
      <c r="H124" s="136"/>
      <c r="I124" s="140"/>
      <c r="J124" s="136"/>
      <c r="K124" s="136"/>
      <c r="L124" s="139"/>
      <c r="M124" s="139"/>
      <c r="N124" s="136"/>
      <c r="O124" s="34"/>
      <c r="P124" s="136"/>
      <c r="Q124" s="140"/>
      <c r="R124" s="136"/>
      <c r="S124" s="136"/>
      <c r="T124" s="150">
        <v>14.79</v>
      </c>
      <c r="U124" s="136">
        <f t="shared" si="31"/>
        <v>14.79</v>
      </c>
    </row>
    <row r="125" spans="1:21" s="5" customFormat="1" ht="15.75" outlineLevel="1" collapsed="1">
      <c r="A125" s="170" t="s">
        <v>846</v>
      </c>
      <c r="B125" s="45"/>
      <c r="C125" s="45"/>
      <c r="D125" s="61"/>
      <c r="E125" s="44"/>
      <c r="F125" s="51"/>
      <c r="G125" s="45"/>
      <c r="H125" s="137">
        <f aca="true" t="shared" si="32" ref="H125:U125">SUBTOTAL(9,H118:H124)</f>
        <v>442.02160100000003</v>
      </c>
      <c r="I125" s="167">
        <f t="shared" si="32"/>
        <v>1229</v>
      </c>
      <c r="J125" s="137">
        <f t="shared" si="32"/>
        <v>115.70000000000002</v>
      </c>
      <c r="K125" s="137">
        <f t="shared" si="32"/>
        <v>180</v>
      </c>
      <c r="L125" s="141">
        <f t="shared" si="32"/>
        <v>0</v>
      </c>
      <c r="M125" s="141">
        <f t="shared" si="32"/>
        <v>0</v>
      </c>
      <c r="N125" s="137">
        <f t="shared" si="32"/>
        <v>0</v>
      </c>
      <c r="O125" s="46">
        <f t="shared" si="32"/>
        <v>0</v>
      </c>
      <c r="P125" s="137">
        <f t="shared" si="32"/>
        <v>0</v>
      </c>
      <c r="Q125" s="167">
        <f t="shared" si="32"/>
        <v>0</v>
      </c>
      <c r="R125" s="137">
        <f t="shared" si="32"/>
        <v>0</v>
      </c>
      <c r="S125" s="137">
        <f t="shared" si="32"/>
        <v>0</v>
      </c>
      <c r="T125" s="171">
        <f t="shared" si="32"/>
        <v>14.79</v>
      </c>
      <c r="U125" s="137">
        <f t="shared" si="32"/>
        <v>752.5116009999998</v>
      </c>
    </row>
    <row r="126" spans="1:21" ht="15" hidden="1" outlineLevel="2">
      <c r="A126" s="6" t="s">
        <v>473</v>
      </c>
      <c r="B126" s="7" t="s">
        <v>58</v>
      </c>
      <c r="C126" s="7" t="s">
        <v>455</v>
      </c>
      <c r="D126" s="8" t="s">
        <v>474</v>
      </c>
      <c r="E126" s="42" t="s">
        <v>457</v>
      </c>
      <c r="F126" s="39" t="s">
        <v>53</v>
      </c>
      <c r="G126" s="24" t="s">
        <v>62</v>
      </c>
      <c r="H126" s="136">
        <v>1926.7616045999973</v>
      </c>
      <c r="I126" s="149">
        <v>5708</v>
      </c>
      <c r="J126" s="136">
        <f>I126*$J$1</f>
        <v>570.8000000000001</v>
      </c>
      <c r="K126" s="136">
        <v>15</v>
      </c>
      <c r="L126" s="139"/>
      <c r="M126" s="139"/>
      <c r="N126" s="136"/>
      <c r="O126" s="11"/>
      <c r="P126" s="136"/>
      <c r="Q126" s="140"/>
      <c r="R126" s="136"/>
      <c r="S126" s="136"/>
      <c r="T126" s="136"/>
      <c r="U126" s="136">
        <f aca="true" t="shared" si="33" ref="U126:U131">H126+J126+K126+N126+P126+R126+S126+T126</f>
        <v>2512.5616045999973</v>
      </c>
    </row>
    <row r="127" spans="1:21" ht="15" hidden="1" outlineLevel="2">
      <c r="A127" s="6" t="s">
        <v>473</v>
      </c>
      <c r="B127" s="7" t="s">
        <v>58</v>
      </c>
      <c r="C127" s="7" t="s">
        <v>455</v>
      </c>
      <c r="D127" s="8" t="s">
        <v>474</v>
      </c>
      <c r="E127" s="42" t="s">
        <v>457</v>
      </c>
      <c r="F127" s="39" t="s">
        <v>53</v>
      </c>
      <c r="G127" s="24" t="s">
        <v>63</v>
      </c>
      <c r="H127" s="136">
        <v>2158.469698</v>
      </c>
      <c r="I127" s="149">
        <v>576</v>
      </c>
      <c r="J127" s="136">
        <f>I127*$J$2</f>
        <v>34.56</v>
      </c>
      <c r="K127" s="136">
        <v>0</v>
      </c>
      <c r="L127" s="139"/>
      <c r="M127" s="139"/>
      <c r="N127" s="136"/>
      <c r="O127" s="11"/>
      <c r="P127" s="136"/>
      <c r="Q127" s="140"/>
      <c r="R127" s="136"/>
      <c r="S127" s="136"/>
      <c r="T127" s="136"/>
      <c r="U127" s="136">
        <f t="shared" si="33"/>
        <v>2193.029698</v>
      </c>
    </row>
    <row r="128" spans="1:21" ht="15" hidden="1" outlineLevel="2">
      <c r="A128" s="6" t="s">
        <v>473</v>
      </c>
      <c r="B128" s="7" t="s">
        <v>58</v>
      </c>
      <c r="C128" s="7" t="s">
        <v>455</v>
      </c>
      <c r="D128" s="8" t="s">
        <v>474</v>
      </c>
      <c r="E128" s="42" t="s">
        <v>457</v>
      </c>
      <c r="F128" s="39" t="s">
        <v>53</v>
      </c>
      <c r="G128" s="24" t="s">
        <v>64</v>
      </c>
      <c r="H128" s="136">
        <v>8359.1676126</v>
      </c>
      <c r="I128" s="149">
        <v>4746</v>
      </c>
      <c r="J128" s="136">
        <f>I128*$J$2</f>
        <v>284.76</v>
      </c>
      <c r="K128" s="136">
        <v>45</v>
      </c>
      <c r="L128" s="139"/>
      <c r="M128" s="139"/>
      <c r="N128" s="136"/>
      <c r="O128" s="11"/>
      <c r="P128" s="136"/>
      <c r="Q128" s="140"/>
      <c r="R128" s="136"/>
      <c r="S128" s="136"/>
      <c r="T128" s="136"/>
      <c r="U128" s="136">
        <f t="shared" si="33"/>
        <v>8688.9276126</v>
      </c>
    </row>
    <row r="129" spans="1:21" ht="15" hidden="1" outlineLevel="2">
      <c r="A129" s="6" t="s">
        <v>473</v>
      </c>
      <c r="B129" s="7" t="s">
        <v>58</v>
      </c>
      <c r="C129" s="7" t="s">
        <v>455</v>
      </c>
      <c r="D129" s="8" t="s">
        <v>474</v>
      </c>
      <c r="E129" s="42" t="s">
        <v>457</v>
      </c>
      <c r="F129" s="39" t="s">
        <v>53</v>
      </c>
      <c r="G129" s="24" t="s">
        <v>65</v>
      </c>
      <c r="H129" s="136">
        <v>2669.043524</v>
      </c>
      <c r="I129" s="149">
        <v>5986</v>
      </c>
      <c r="J129" s="136">
        <f>I129*$J$2</f>
        <v>359.15999999999997</v>
      </c>
      <c r="K129" s="136">
        <v>105</v>
      </c>
      <c r="L129" s="139"/>
      <c r="M129" s="139"/>
      <c r="N129" s="136"/>
      <c r="O129" s="11"/>
      <c r="P129" s="136"/>
      <c r="Q129" s="140"/>
      <c r="R129" s="136"/>
      <c r="S129" s="136"/>
      <c r="T129" s="136"/>
      <c r="U129" s="136">
        <f t="shared" si="33"/>
        <v>3133.203524</v>
      </c>
    </row>
    <row r="130" spans="1:21" ht="15" hidden="1" outlineLevel="2">
      <c r="A130" s="6" t="s">
        <v>473</v>
      </c>
      <c r="B130" s="7" t="s">
        <v>58</v>
      </c>
      <c r="C130" s="7" t="s">
        <v>455</v>
      </c>
      <c r="D130" s="8" t="s">
        <v>474</v>
      </c>
      <c r="E130" s="42" t="s">
        <v>457</v>
      </c>
      <c r="F130" s="39" t="s">
        <v>53</v>
      </c>
      <c r="G130" s="24" t="s">
        <v>66</v>
      </c>
      <c r="H130" s="136">
        <v>2357.1185791999997</v>
      </c>
      <c r="I130" s="149">
        <v>1615</v>
      </c>
      <c r="J130" s="136">
        <f>I130*$J$2</f>
        <v>96.89999999999999</v>
      </c>
      <c r="K130" s="136">
        <v>15</v>
      </c>
      <c r="L130" s="139"/>
      <c r="M130" s="139"/>
      <c r="N130" s="136"/>
      <c r="O130" s="11"/>
      <c r="P130" s="136"/>
      <c r="Q130" s="140"/>
      <c r="R130" s="136"/>
      <c r="S130" s="136"/>
      <c r="T130" s="136"/>
      <c r="U130" s="136">
        <f t="shared" si="33"/>
        <v>2469.0185791999997</v>
      </c>
    </row>
    <row r="131" spans="1:21" ht="15" hidden="1" outlineLevel="2">
      <c r="A131" s="28" t="s">
        <v>473</v>
      </c>
      <c r="B131" s="11" t="str">
        <f>B130</f>
        <v>DCM</v>
      </c>
      <c r="C131" s="11" t="str">
        <f>C130</f>
        <v>FINANCE &amp; RISK</v>
      </c>
      <c r="D131" s="13" t="str">
        <f>D130</f>
        <v>705210</v>
      </c>
      <c r="E131" s="38" t="str">
        <f>E130</f>
        <v>72-10</v>
      </c>
      <c r="F131" s="20" t="s">
        <v>615</v>
      </c>
      <c r="G131" s="11" t="s">
        <v>615</v>
      </c>
      <c r="H131" s="136"/>
      <c r="I131" s="140"/>
      <c r="J131" s="136"/>
      <c r="K131" s="136"/>
      <c r="L131" s="139"/>
      <c r="M131" s="139"/>
      <c r="N131" s="136"/>
      <c r="O131" s="29">
        <f>1.5+1.5</f>
        <v>3</v>
      </c>
      <c r="P131" s="136">
        <f>O131*$P$2</f>
        <v>216</v>
      </c>
      <c r="Q131" s="140"/>
      <c r="R131" s="136"/>
      <c r="S131" s="136"/>
      <c r="T131" s="136"/>
      <c r="U131" s="136">
        <f t="shared" si="33"/>
        <v>216</v>
      </c>
    </row>
    <row r="132" spans="1:21" s="5" customFormat="1" ht="15.75" outlineLevel="1" collapsed="1">
      <c r="A132" s="170" t="s">
        <v>847</v>
      </c>
      <c r="B132" s="45"/>
      <c r="C132" s="45"/>
      <c r="D132" s="61"/>
      <c r="E132" s="44"/>
      <c r="F132" s="51"/>
      <c r="G132" s="45"/>
      <c r="H132" s="137">
        <f aca="true" t="shared" si="34" ref="H132:U132">SUBTOTAL(9,H126:H131)</f>
        <v>17470.561018399996</v>
      </c>
      <c r="I132" s="167">
        <f t="shared" si="34"/>
        <v>18631</v>
      </c>
      <c r="J132" s="137">
        <f t="shared" si="34"/>
        <v>1346.1800000000003</v>
      </c>
      <c r="K132" s="137">
        <f t="shared" si="34"/>
        <v>180</v>
      </c>
      <c r="L132" s="141">
        <f t="shared" si="34"/>
        <v>0</v>
      </c>
      <c r="M132" s="141">
        <f t="shared" si="34"/>
        <v>0</v>
      </c>
      <c r="N132" s="137">
        <f t="shared" si="34"/>
        <v>0</v>
      </c>
      <c r="O132" s="46">
        <f t="shared" si="34"/>
        <v>3</v>
      </c>
      <c r="P132" s="137">
        <f t="shared" si="34"/>
        <v>216</v>
      </c>
      <c r="Q132" s="167">
        <f t="shared" si="34"/>
        <v>0</v>
      </c>
      <c r="R132" s="137">
        <f t="shared" si="34"/>
        <v>0</v>
      </c>
      <c r="S132" s="137">
        <f t="shared" si="34"/>
        <v>0</v>
      </c>
      <c r="T132" s="171">
        <f t="shared" si="34"/>
        <v>0</v>
      </c>
      <c r="U132" s="137">
        <f t="shared" si="34"/>
        <v>19212.7410184</v>
      </c>
    </row>
    <row r="133" spans="1:21" ht="15" hidden="1" outlineLevel="2">
      <c r="A133" s="6" t="s">
        <v>475</v>
      </c>
      <c r="B133" s="7" t="s">
        <v>58</v>
      </c>
      <c r="C133" s="7" t="s">
        <v>455</v>
      </c>
      <c r="D133" s="8" t="s">
        <v>476</v>
      </c>
      <c r="E133" s="42" t="s">
        <v>457</v>
      </c>
      <c r="F133" s="39" t="s">
        <v>53</v>
      </c>
      <c r="G133" s="24" t="s">
        <v>62</v>
      </c>
      <c r="H133" s="136">
        <v>2376.3226396000014</v>
      </c>
      <c r="I133" s="149">
        <v>7197</v>
      </c>
      <c r="J133" s="136">
        <f>I133*$J$1</f>
        <v>719.7</v>
      </c>
      <c r="K133" s="136">
        <v>45</v>
      </c>
      <c r="L133" s="139"/>
      <c r="M133" s="139"/>
      <c r="N133" s="136"/>
      <c r="O133" s="11"/>
      <c r="P133" s="136"/>
      <c r="Q133" s="140"/>
      <c r="R133" s="136"/>
      <c r="S133" s="136"/>
      <c r="T133" s="136"/>
      <c r="U133" s="136">
        <f>H133+J133+K133+N133+P133+R133+S133+T133</f>
        <v>3141.0226396000016</v>
      </c>
    </row>
    <row r="134" spans="1:21" ht="15" hidden="1" outlineLevel="2">
      <c r="A134" s="6" t="s">
        <v>475</v>
      </c>
      <c r="B134" s="7" t="s">
        <v>58</v>
      </c>
      <c r="C134" s="7" t="s">
        <v>455</v>
      </c>
      <c r="D134" s="8" t="s">
        <v>476</v>
      </c>
      <c r="E134" s="42" t="s">
        <v>457</v>
      </c>
      <c r="F134" s="39" t="s">
        <v>53</v>
      </c>
      <c r="G134" s="24" t="s">
        <v>63</v>
      </c>
      <c r="H134" s="136">
        <v>218.832334</v>
      </c>
      <c r="I134" s="149">
        <v>65</v>
      </c>
      <c r="J134" s="136">
        <f>I134*$J$2</f>
        <v>3.9</v>
      </c>
      <c r="K134" s="136">
        <v>15</v>
      </c>
      <c r="L134" s="139"/>
      <c r="M134" s="139"/>
      <c r="N134" s="136"/>
      <c r="O134" s="11"/>
      <c r="P134" s="136"/>
      <c r="Q134" s="140"/>
      <c r="R134" s="136"/>
      <c r="S134" s="136"/>
      <c r="T134" s="136"/>
      <c r="U134" s="136">
        <f>H134+J134+K134+N134+P134+R134+S134+T134</f>
        <v>237.732334</v>
      </c>
    </row>
    <row r="135" spans="1:21" ht="15" hidden="1" outlineLevel="2">
      <c r="A135" s="6" t="s">
        <v>475</v>
      </c>
      <c r="B135" s="7" t="s">
        <v>58</v>
      </c>
      <c r="C135" s="7" t="s">
        <v>455</v>
      </c>
      <c r="D135" s="8" t="s">
        <v>476</v>
      </c>
      <c r="E135" s="42" t="s">
        <v>457</v>
      </c>
      <c r="F135" s="39" t="s">
        <v>53</v>
      </c>
      <c r="G135" s="24" t="s">
        <v>64</v>
      </c>
      <c r="H135" s="136">
        <v>1226.0031965999997</v>
      </c>
      <c r="I135" s="149">
        <v>800</v>
      </c>
      <c r="J135" s="136">
        <f>I135*$J$2</f>
        <v>48</v>
      </c>
      <c r="K135" s="136">
        <v>30</v>
      </c>
      <c r="L135" s="139"/>
      <c r="M135" s="139"/>
      <c r="N135" s="136"/>
      <c r="O135" s="11"/>
      <c r="P135" s="136"/>
      <c r="Q135" s="140"/>
      <c r="R135" s="136"/>
      <c r="S135" s="136"/>
      <c r="T135" s="136"/>
      <c r="U135" s="136">
        <f>H135+J135+K135+N135+P135+R135+S135+T135</f>
        <v>1304.0031965999997</v>
      </c>
    </row>
    <row r="136" spans="1:21" ht="15" hidden="1" outlineLevel="2">
      <c r="A136" s="6" t="s">
        <v>475</v>
      </c>
      <c r="B136" s="7" t="s">
        <v>58</v>
      </c>
      <c r="C136" s="7" t="s">
        <v>455</v>
      </c>
      <c r="D136" s="8" t="s">
        <v>476</v>
      </c>
      <c r="E136" s="42" t="s">
        <v>457</v>
      </c>
      <c r="F136" s="39" t="s">
        <v>53</v>
      </c>
      <c r="G136" s="24" t="s">
        <v>65</v>
      </c>
      <c r="H136" s="136">
        <v>357.06717480000003</v>
      </c>
      <c r="I136" s="149">
        <v>816</v>
      </c>
      <c r="J136" s="136">
        <f>I136*$J$2</f>
        <v>48.96</v>
      </c>
      <c r="K136" s="136">
        <v>45</v>
      </c>
      <c r="L136" s="139"/>
      <c r="M136" s="139"/>
      <c r="N136" s="136"/>
      <c r="O136" s="11"/>
      <c r="P136" s="136"/>
      <c r="Q136" s="140"/>
      <c r="R136" s="136"/>
      <c r="S136" s="136"/>
      <c r="T136" s="136"/>
      <c r="U136" s="136">
        <f>H136+J136+K136+N136+P136+R136+S136+T136</f>
        <v>451.0271748</v>
      </c>
    </row>
    <row r="137" spans="1:21" ht="15" hidden="1" outlineLevel="2">
      <c r="A137" s="6" t="s">
        <v>475</v>
      </c>
      <c r="B137" s="7" t="s">
        <v>58</v>
      </c>
      <c r="C137" s="7" t="s">
        <v>455</v>
      </c>
      <c r="D137" s="8" t="s">
        <v>476</v>
      </c>
      <c r="E137" s="42" t="s">
        <v>457</v>
      </c>
      <c r="F137" s="39" t="s">
        <v>53</v>
      </c>
      <c r="G137" s="24" t="s">
        <v>66</v>
      </c>
      <c r="H137" s="136">
        <v>523.7159298</v>
      </c>
      <c r="I137" s="149">
        <v>472</v>
      </c>
      <c r="J137" s="136">
        <f>I137*$J$2</f>
        <v>28.32</v>
      </c>
      <c r="K137" s="136">
        <v>45</v>
      </c>
      <c r="L137" s="139"/>
      <c r="M137" s="139"/>
      <c r="N137" s="136"/>
      <c r="O137" s="11"/>
      <c r="P137" s="136"/>
      <c r="Q137" s="140"/>
      <c r="R137" s="136"/>
      <c r="S137" s="136"/>
      <c r="T137" s="136"/>
      <c r="U137" s="136">
        <f>H137+J137+K137+N137+P137+R137+S137+T137</f>
        <v>597.0359298000001</v>
      </c>
    </row>
    <row r="138" spans="1:21" s="5" customFormat="1" ht="15.75" outlineLevel="1" collapsed="1">
      <c r="A138" s="170" t="s">
        <v>848</v>
      </c>
      <c r="B138" s="45"/>
      <c r="C138" s="45"/>
      <c r="D138" s="61"/>
      <c r="E138" s="44"/>
      <c r="F138" s="51"/>
      <c r="G138" s="45"/>
      <c r="H138" s="137">
        <f aca="true" t="shared" si="35" ref="H138:U138">SUBTOTAL(9,H133:H137)</f>
        <v>4701.941274800001</v>
      </c>
      <c r="I138" s="167">
        <f t="shared" si="35"/>
        <v>9350</v>
      </c>
      <c r="J138" s="137">
        <f t="shared" si="35"/>
        <v>848.8800000000001</v>
      </c>
      <c r="K138" s="137">
        <f t="shared" si="35"/>
        <v>180</v>
      </c>
      <c r="L138" s="141">
        <f t="shared" si="35"/>
        <v>0</v>
      </c>
      <c r="M138" s="141">
        <f t="shared" si="35"/>
        <v>0</v>
      </c>
      <c r="N138" s="137">
        <f t="shared" si="35"/>
        <v>0</v>
      </c>
      <c r="O138" s="46">
        <f t="shared" si="35"/>
        <v>0</v>
      </c>
      <c r="P138" s="137">
        <f t="shared" si="35"/>
        <v>0</v>
      </c>
      <c r="Q138" s="167">
        <f t="shared" si="35"/>
        <v>0</v>
      </c>
      <c r="R138" s="137">
        <f t="shared" si="35"/>
        <v>0</v>
      </c>
      <c r="S138" s="137">
        <f t="shared" si="35"/>
        <v>0</v>
      </c>
      <c r="T138" s="171">
        <f t="shared" si="35"/>
        <v>0</v>
      </c>
      <c r="U138" s="137">
        <f t="shared" si="35"/>
        <v>5730.8212748000005</v>
      </c>
    </row>
    <row r="139" spans="1:21" ht="15" hidden="1" outlineLevel="2">
      <c r="A139" s="6" t="s">
        <v>477</v>
      </c>
      <c r="B139" s="7" t="s">
        <v>58</v>
      </c>
      <c r="C139" s="7" t="s">
        <v>455</v>
      </c>
      <c r="D139" s="8" t="s">
        <v>478</v>
      </c>
      <c r="E139" s="42" t="s">
        <v>457</v>
      </c>
      <c r="F139" s="39" t="s">
        <v>53</v>
      </c>
      <c r="G139" s="24" t="s">
        <v>62</v>
      </c>
      <c r="H139" s="136">
        <v>414.82616</v>
      </c>
      <c r="I139" s="149">
        <v>1196</v>
      </c>
      <c r="J139" s="136">
        <f>I139*$J$1</f>
        <v>119.60000000000001</v>
      </c>
      <c r="K139" s="136">
        <v>45</v>
      </c>
      <c r="L139" s="139"/>
      <c r="M139" s="139"/>
      <c r="N139" s="136"/>
      <c r="O139" s="11"/>
      <c r="P139" s="136"/>
      <c r="Q139" s="140"/>
      <c r="R139" s="136"/>
      <c r="S139" s="136"/>
      <c r="T139" s="136"/>
      <c r="U139" s="136">
        <f>H139+J139+K139+N139+P139+R139+S139+T139</f>
        <v>579.42616</v>
      </c>
    </row>
    <row r="140" spans="1:21" ht="15" hidden="1" outlineLevel="2">
      <c r="A140" s="6" t="s">
        <v>477</v>
      </c>
      <c r="B140" s="7" t="s">
        <v>58</v>
      </c>
      <c r="C140" s="7" t="s">
        <v>455</v>
      </c>
      <c r="D140" s="8" t="s">
        <v>478</v>
      </c>
      <c r="E140" s="42" t="s">
        <v>457</v>
      </c>
      <c r="F140" s="39" t="s">
        <v>53</v>
      </c>
      <c r="G140" s="24" t="s">
        <v>63</v>
      </c>
      <c r="H140" s="136">
        <v>271.88100799999995</v>
      </c>
      <c r="I140" s="149">
        <v>57</v>
      </c>
      <c r="J140" s="136">
        <f>I140*$J$2</f>
        <v>3.42</v>
      </c>
      <c r="K140" s="136">
        <v>0</v>
      </c>
      <c r="L140" s="139"/>
      <c r="M140" s="139"/>
      <c r="N140" s="136"/>
      <c r="O140" s="11"/>
      <c r="P140" s="136"/>
      <c r="Q140" s="140"/>
      <c r="R140" s="136"/>
      <c r="S140" s="136"/>
      <c r="T140" s="136"/>
      <c r="U140" s="136">
        <f>H140+J140+K140+N140+P140+R140+S140+T140</f>
        <v>275.30100799999997</v>
      </c>
    </row>
    <row r="141" spans="1:21" ht="15" hidden="1" outlineLevel="2">
      <c r="A141" s="6" t="s">
        <v>477</v>
      </c>
      <c r="B141" s="7" t="s">
        <v>58</v>
      </c>
      <c r="C141" s="7" t="s">
        <v>455</v>
      </c>
      <c r="D141" s="8" t="s">
        <v>478</v>
      </c>
      <c r="E141" s="42" t="s">
        <v>457</v>
      </c>
      <c r="F141" s="39" t="s">
        <v>53</v>
      </c>
      <c r="G141" s="24" t="s">
        <v>64</v>
      </c>
      <c r="H141" s="136">
        <v>359.55759979999993</v>
      </c>
      <c r="I141" s="149">
        <v>253</v>
      </c>
      <c r="J141" s="136">
        <f>I141*$J$2</f>
        <v>15.18</v>
      </c>
      <c r="K141" s="136">
        <v>30</v>
      </c>
      <c r="L141" s="139"/>
      <c r="M141" s="139"/>
      <c r="N141" s="136"/>
      <c r="O141" s="11"/>
      <c r="P141" s="136"/>
      <c r="Q141" s="140"/>
      <c r="R141" s="136"/>
      <c r="S141" s="136"/>
      <c r="T141" s="136"/>
      <c r="U141" s="136">
        <f>H141+J141+K141+N141+P141+R141+S141+T141</f>
        <v>404.73759979999994</v>
      </c>
    </row>
    <row r="142" spans="1:21" ht="15" hidden="1" outlineLevel="2">
      <c r="A142" s="6" t="s">
        <v>477</v>
      </c>
      <c r="B142" s="7" t="s">
        <v>58</v>
      </c>
      <c r="C142" s="7" t="s">
        <v>455</v>
      </c>
      <c r="D142" s="8" t="s">
        <v>478</v>
      </c>
      <c r="E142" s="42" t="s">
        <v>457</v>
      </c>
      <c r="F142" s="39" t="s">
        <v>53</v>
      </c>
      <c r="G142" s="24" t="s">
        <v>65</v>
      </c>
      <c r="H142" s="136">
        <v>1008.108311</v>
      </c>
      <c r="I142" s="149">
        <v>282</v>
      </c>
      <c r="J142" s="136">
        <f>I142*$J$2</f>
        <v>16.919999999999998</v>
      </c>
      <c r="K142" s="136">
        <v>30</v>
      </c>
      <c r="L142" s="139"/>
      <c r="M142" s="139"/>
      <c r="N142" s="136"/>
      <c r="O142" s="11"/>
      <c r="P142" s="136"/>
      <c r="Q142" s="140"/>
      <c r="R142" s="136"/>
      <c r="S142" s="136"/>
      <c r="T142" s="136"/>
      <c r="U142" s="136">
        <f>H142+J142+K142+N142+P142+R142+S142+T142</f>
        <v>1055.028311</v>
      </c>
    </row>
    <row r="143" spans="1:21" ht="15" hidden="1" outlineLevel="2">
      <c r="A143" s="6" t="s">
        <v>477</v>
      </c>
      <c r="B143" s="7" t="s">
        <v>58</v>
      </c>
      <c r="C143" s="7" t="s">
        <v>455</v>
      </c>
      <c r="D143" s="8" t="s">
        <v>478</v>
      </c>
      <c r="E143" s="42" t="s">
        <v>457</v>
      </c>
      <c r="F143" s="39" t="s">
        <v>53</v>
      </c>
      <c r="G143" s="24" t="s">
        <v>66</v>
      </c>
      <c r="H143" s="136">
        <v>243.1766316</v>
      </c>
      <c r="I143" s="149">
        <v>276</v>
      </c>
      <c r="J143" s="136">
        <f>I143*$J$2</f>
        <v>16.56</v>
      </c>
      <c r="K143" s="136">
        <v>75</v>
      </c>
      <c r="L143" s="139"/>
      <c r="M143" s="139"/>
      <c r="N143" s="136"/>
      <c r="O143" s="11"/>
      <c r="P143" s="136"/>
      <c r="Q143" s="140"/>
      <c r="R143" s="136"/>
      <c r="S143" s="136"/>
      <c r="T143" s="136"/>
      <c r="U143" s="136">
        <f>H143+J143+K143+N143+P143+R143+S143+T143</f>
        <v>334.7366316</v>
      </c>
    </row>
    <row r="144" spans="1:21" s="5" customFormat="1" ht="15.75" outlineLevel="1" collapsed="1">
      <c r="A144" s="170" t="s">
        <v>849</v>
      </c>
      <c r="B144" s="45"/>
      <c r="C144" s="45"/>
      <c r="D144" s="61"/>
      <c r="E144" s="44"/>
      <c r="F144" s="51"/>
      <c r="G144" s="45"/>
      <c r="H144" s="137">
        <f aca="true" t="shared" si="36" ref="H144:U144">SUBTOTAL(9,H139:H143)</f>
        <v>2297.5497103999996</v>
      </c>
      <c r="I144" s="167">
        <f t="shared" si="36"/>
        <v>2064</v>
      </c>
      <c r="J144" s="137">
        <f t="shared" si="36"/>
        <v>171.68</v>
      </c>
      <c r="K144" s="137">
        <f t="shared" si="36"/>
        <v>180</v>
      </c>
      <c r="L144" s="141">
        <f t="shared" si="36"/>
        <v>0</v>
      </c>
      <c r="M144" s="141">
        <f t="shared" si="36"/>
        <v>0</v>
      </c>
      <c r="N144" s="137">
        <f t="shared" si="36"/>
        <v>0</v>
      </c>
      <c r="O144" s="46">
        <f t="shared" si="36"/>
        <v>0</v>
      </c>
      <c r="P144" s="137">
        <f t="shared" si="36"/>
        <v>0</v>
      </c>
      <c r="Q144" s="167">
        <f t="shared" si="36"/>
        <v>0</v>
      </c>
      <c r="R144" s="137">
        <f t="shared" si="36"/>
        <v>0</v>
      </c>
      <c r="S144" s="137">
        <f t="shared" si="36"/>
        <v>0</v>
      </c>
      <c r="T144" s="171">
        <f t="shared" si="36"/>
        <v>0</v>
      </c>
      <c r="U144" s="137">
        <f t="shared" si="36"/>
        <v>2649.2297104</v>
      </c>
    </row>
    <row r="145" spans="1:21" ht="15" hidden="1" outlineLevel="2">
      <c r="A145" s="6" t="s">
        <v>479</v>
      </c>
      <c r="B145" s="7" t="s">
        <v>58</v>
      </c>
      <c r="C145" s="7" t="s">
        <v>455</v>
      </c>
      <c r="D145" s="8" t="s">
        <v>480</v>
      </c>
      <c r="E145" s="42" t="s">
        <v>457</v>
      </c>
      <c r="F145" s="39" t="s">
        <v>53</v>
      </c>
      <c r="G145" s="24" t="s">
        <v>62</v>
      </c>
      <c r="H145" s="136">
        <v>472.195066</v>
      </c>
      <c r="I145" s="149">
        <v>1421</v>
      </c>
      <c r="J145" s="136">
        <f>I145*$J$1</f>
        <v>142.1</v>
      </c>
      <c r="K145" s="136">
        <v>90</v>
      </c>
      <c r="L145" s="139"/>
      <c r="M145" s="139"/>
      <c r="N145" s="136"/>
      <c r="O145" s="11"/>
      <c r="P145" s="136"/>
      <c r="Q145" s="140"/>
      <c r="R145" s="136"/>
      <c r="S145" s="136"/>
      <c r="T145" s="136"/>
      <c r="U145" s="136">
        <f aca="true" t="shared" si="37" ref="U145:U150">H145+J145+K145+N145+P145+R145+S145+T145</f>
        <v>704.295066</v>
      </c>
    </row>
    <row r="146" spans="1:21" ht="15" hidden="1" outlineLevel="2">
      <c r="A146" s="6" t="s">
        <v>479</v>
      </c>
      <c r="B146" s="7" t="s">
        <v>58</v>
      </c>
      <c r="C146" s="7" t="s">
        <v>455</v>
      </c>
      <c r="D146" s="8" t="s">
        <v>480</v>
      </c>
      <c r="E146" s="42" t="s">
        <v>457</v>
      </c>
      <c r="F146" s="39" t="s">
        <v>53</v>
      </c>
      <c r="G146" s="24" t="s">
        <v>63</v>
      </c>
      <c r="H146" s="136">
        <v>63.3763354</v>
      </c>
      <c r="I146" s="149">
        <v>15</v>
      </c>
      <c r="J146" s="136">
        <f>I146*$J$2</f>
        <v>0.8999999999999999</v>
      </c>
      <c r="K146" s="136">
        <v>0</v>
      </c>
      <c r="L146" s="139"/>
      <c r="M146" s="139"/>
      <c r="N146" s="136"/>
      <c r="O146" s="11"/>
      <c r="P146" s="136"/>
      <c r="Q146" s="140"/>
      <c r="R146" s="136"/>
      <c r="S146" s="136"/>
      <c r="T146" s="136"/>
      <c r="U146" s="136">
        <f t="shared" si="37"/>
        <v>64.27633540000001</v>
      </c>
    </row>
    <row r="147" spans="1:21" ht="15" hidden="1" outlineLevel="2">
      <c r="A147" s="6" t="s">
        <v>479</v>
      </c>
      <c r="B147" s="7" t="s">
        <v>58</v>
      </c>
      <c r="C147" s="7" t="s">
        <v>455</v>
      </c>
      <c r="D147" s="8" t="s">
        <v>480</v>
      </c>
      <c r="E147" s="42" t="s">
        <v>457</v>
      </c>
      <c r="F147" s="39" t="s">
        <v>53</v>
      </c>
      <c r="G147" s="24" t="s">
        <v>246</v>
      </c>
      <c r="H147" s="136">
        <v>1.583386</v>
      </c>
      <c r="I147" s="149">
        <v>1</v>
      </c>
      <c r="J147" s="136">
        <f>I147*$J$2</f>
        <v>0.06</v>
      </c>
      <c r="K147" s="136">
        <v>0</v>
      </c>
      <c r="L147" s="139"/>
      <c r="M147" s="139"/>
      <c r="N147" s="136"/>
      <c r="O147" s="11"/>
      <c r="P147" s="136"/>
      <c r="Q147" s="140"/>
      <c r="R147" s="136"/>
      <c r="S147" s="136"/>
      <c r="T147" s="136"/>
      <c r="U147" s="136">
        <f t="shared" si="37"/>
        <v>1.643386</v>
      </c>
    </row>
    <row r="148" spans="1:21" ht="15" hidden="1" outlineLevel="2">
      <c r="A148" s="6" t="s">
        <v>479</v>
      </c>
      <c r="B148" s="7" t="s">
        <v>58</v>
      </c>
      <c r="C148" s="7" t="s">
        <v>455</v>
      </c>
      <c r="D148" s="8" t="s">
        <v>480</v>
      </c>
      <c r="E148" s="42" t="s">
        <v>457</v>
      </c>
      <c r="F148" s="39" t="s">
        <v>53</v>
      </c>
      <c r="G148" s="24" t="s">
        <v>64</v>
      </c>
      <c r="H148" s="136">
        <v>236.8284071999999</v>
      </c>
      <c r="I148" s="149">
        <v>164</v>
      </c>
      <c r="J148" s="136">
        <f>I148*$J$2</f>
        <v>9.84</v>
      </c>
      <c r="K148" s="136">
        <v>30</v>
      </c>
      <c r="L148" s="139"/>
      <c r="M148" s="139"/>
      <c r="N148" s="136"/>
      <c r="O148" s="11"/>
      <c r="P148" s="136"/>
      <c r="Q148" s="140"/>
      <c r="R148" s="136"/>
      <c r="S148" s="136"/>
      <c r="T148" s="136"/>
      <c r="U148" s="136">
        <f t="shared" si="37"/>
        <v>276.66840719999993</v>
      </c>
    </row>
    <row r="149" spans="1:21" ht="15" hidden="1" outlineLevel="2">
      <c r="A149" s="6" t="s">
        <v>479</v>
      </c>
      <c r="B149" s="7" t="s">
        <v>58</v>
      </c>
      <c r="C149" s="7" t="s">
        <v>455</v>
      </c>
      <c r="D149" s="8" t="s">
        <v>480</v>
      </c>
      <c r="E149" s="42" t="s">
        <v>457</v>
      </c>
      <c r="F149" s="39" t="s">
        <v>53</v>
      </c>
      <c r="G149" s="24" t="s">
        <v>65</v>
      </c>
      <c r="H149" s="136">
        <v>589.0541958</v>
      </c>
      <c r="I149" s="149">
        <v>1199</v>
      </c>
      <c r="J149" s="136">
        <f>I149*$J$2</f>
        <v>71.94</v>
      </c>
      <c r="K149" s="136">
        <v>60</v>
      </c>
      <c r="L149" s="139"/>
      <c r="M149" s="139"/>
      <c r="N149" s="136"/>
      <c r="O149" s="11"/>
      <c r="P149" s="136"/>
      <c r="Q149" s="140"/>
      <c r="R149" s="136"/>
      <c r="S149" s="136"/>
      <c r="T149" s="136"/>
      <c r="U149" s="136">
        <f t="shared" si="37"/>
        <v>720.9941957999999</v>
      </c>
    </row>
    <row r="150" spans="1:21" ht="15" hidden="1" outlineLevel="2">
      <c r="A150" s="6" t="s">
        <v>479</v>
      </c>
      <c r="B150" s="7" t="s">
        <v>58</v>
      </c>
      <c r="C150" s="7" t="s">
        <v>455</v>
      </c>
      <c r="D150" s="8" t="s">
        <v>480</v>
      </c>
      <c r="E150" s="42" t="s">
        <v>457</v>
      </c>
      <c r="F150" s="39" t="s">
        <v>53</v>
      </c>
      <c r="G150" s="24" t="s">
        <v>66</v>
      </c>
      <c r="H150" s="136">
        <v>15.9114564</v>
      </c>
      <c r="I150" s="149">
        <v>10</v>
      </c>
      <c r="J150" s="136">
        <f>I150*$J$2</f>
        <v>0.6</v>
      </c>
      <c r="K150" s="136">
        <v>0</v>
      </c>
      <c r="L150" s="139"/>
      <c r="M150" s="139"/>
      <c r="N150" s="136"/>
      <c r="O150" s="11"/>
      <c r="P150" s="136"/>
      <c r="Q150" s="140"/>
      <c r="R150" s="136"/>
      <c r="S150" s="136"/>
      <c r="T150" s="136"/>
      <c r="U150" s="136">
        <f t="shared" si="37"/>
        <v>16.5114564</v>
      </c>
    </row>
    <row r="151" spans="1:21" s="5" customFormat="1" ht="15.75" outlineLevel="1" collapsed="1">
      <c r="A151" s="170" t="s">
        <v>850</v>
      </c>
      <c r="B151" s="45"/>
      <c r="C151" s="45"/>
      <c r="D151" s="61"/>
      <c r="E151" s="44"/>
      <c r="F151" s="51"/>
      <c r="G151" s="45"/>
      <c r="H151" s="137">
        <f aca="true" t="shared" si="38" ref="H151:U151">SUBTOTAL(9,H145:H150)</f>
        <v>1378.9488467999997</v>
      </c>
      <c r="I151" s="167">
        <f t="shared" si="38"/>
        <v>2810</v>
      </c>
      <c r="J151" s="137">
        <f t="shared" si="38"/>
        <v>225.44</v>
      </c>
      <c r="K151" s="137">
        <f t="shared" si="38"/>
        <v>180</v>
      </c>
      <c r="L151" s="141">
        <f t="shared" si="38"/>
        <v>0</v>
      </c>
      <c r="M151" s="141">
        <f t="shared" si="38"/>
        <v>0</v>
      </c>
      <c r="N151" s="137">
        <f t="shared" si="38"/>
        <v>0</v>
      </c>
      <c r="O151" s="46">
        <f t="shared" si="38"/>
        <v>0</v>
      </c>
      <c r="P151" s="137">
        <f t="shared" si="38"/>
        <v>0</v>
      </c>
      <c r="Q151" s="167">
        <f t="shared" si="38"/>
        <v>0</v>
      </c>
      <c r="R151" s="137">
        <f t="shared" si="38"/>
        <v>0</v>
      </c>
      <c r="S151" s="137">
        <f t="shared" si="38"/>
        <v>0</v>
      </c>
      <c r="T151" s="171">
        <f t="shared" si="38"/>
        <v>0</v>
      </c>
      <c r="U151" s="137">
        <f t="shared" si="38"/>
        <v>1784.3888468</v>
      </c>
    </row>
    <row r="152" spans="1:21" ht="15" hidden="1" outlineLevel="2">
      <c r="A152" s="6" t="s">
        <v>481</v>
      </c>
      <c r="B152" s="7" t="s">
        <v>58</v>
      </c>
      <c r="C152" s="7" t="s">
        <v>455</v>
      </c>
      <c r="D152" s="8" t="s">
        <v>478</v>
      </c>
      <c r="E152" s="42" t="s">
        <v>457</v>
      </c>
      <c r="F152" s="39" t="s">
        <v>53</v>
      </c>
      <c r="G152" s="24" t="s">
        <v>62</v>
      </c>
      <c r="H152" s="136">
        <v>31.5460824</v>
      </c>
      <c r="I152" s="149">
        <v>97</v>
      </c>
      <c r="J152" s="136">
        <f>I152*$J$1</f>
        <v>9.700000000000001</v>
      </c>
      <c r="K152" s="136">
        <v>120</v>
      </c>
      <c r="L152" s="139"/>
      <c r="M152" s="139"/>
      <c r="N152" s="136"/>
      <c r="O152" s="11"/>
      <c r="P152" s="136"/>
      <c r="Q152" s="140"/>
      <c r="R152" s="136"/>
      <c r="S152" s="136"/>
      <c r="T152" s="136"/>
      <c r="U152" s="136">
        <f aca="true" t="shared" si="39" ref="U152:U157">H152+J152+K152+N152+P152+R152+S152+T152</f>
        <v>161.2460824</v>
      </c>
    </row>
    <row r="153" spans="1:21" ht="15" hidden="1" outlineLevel="2">
      <c r="A153" s="6" t="s">
        <v>481</v>
      </c>
      <c r="B153" s="7" t="s">
        <v>58</v>
      </c>
      <c r="C153" s="7" t="s">
        <v>455</v>
      </c>
      <c r="D153" s="8" t="s">
        <v>478</v>
      </c>
      <c r="E153" s="42" t="s">
        <v>457</v>
      </c>
      <c r="F153" s="39" t="s">
        <v>53</v>
      </c>
      <c r="G153" s="24" t="s">
        <v>63</v>
      </c>
      <c r="H153" s="136">
        <v>12.258134</v>
      </c>
      <c r="I153" s="149">
        <v>3</v>
      </c>
      <c r="J153" s="136">
        <f>I153*$J$2</f>
        <v>0.18</v>
      </c>
      <c r="K153" s="136">
        <v>0</v>
      </c>
      <c r="L153" s="139"/>
      <c r="M153" s="139"/>
      <c r="N153" s="136"/>
      <c r="O153" s="11"/>
      <c r="P153" s="136"/>
      <c r="Q153" s="140"/>
      <c r="R153" s="136"/>
      <c r="S153" s="136"/>
      <c r="T153" s="136"/>
      <c r="U153" s="136">
        <f t="shared" si="39"/>
        <v>12.438134</v>
      </c>
    </row>
    <row r="154" spans="1:21" ht="15" hidden="1" outlineLevel="2">
      <c r="A154" s="6" t="s">
        <v>481</v>
      </c>
      <c r="B154" s="7" t="s">
        <v>58</v>
      </c>
      <c r="C154" s="7" t="s">
        <v>455</v>
      </c>
      <c r="D154" s="8" t="s">
        <v>478</v>
      </c>
      <c r="E154" s="42" t="s">
        <v>457</v>
      </c>
      <c r="F154" s="39" t="s">
        <v>53</v>
      </c>
      <c r="G154" s="24" t="s">
        <v>64</v>
      </c>
      <c r="H154" s="136">
        <v>28.396088</v>
      </c>
      <c r="I154" s="149">
        <v>15</v>
      </c>
      <c r="J154" s="136">
        <f>I154*$J$2</f>
        <v>0.8999999999999999</v>
      </c>
      <c r="K154" s="136">
        <v>15</v>
      </c>
      <c r="L154" s="139"/>
      <c r="M154" s="139"/>
      <c r="N154" s="136"/>
      <c r="O154" s="11"/>
      <c r="P154" s="136"/>
      <c r="Q154" s="140"/>
      <c r="R154" s="136"/>
      <c r="S154" s="136"/>
      <c r="T154" s="136"/>
      <c r="U154" s="136">
        <f t="shared" si="39"/>
        <v>44.296088</v>
      </c>
    </row>
    <row r="155" spans="1:21" ht="15" hidden="1" outlineLevel="2">
      <c r="A155" s="6" t="s">
        <v>481</v>
      </c>
      <c r="B155" s="7" t="s">
        <v>58</v>
      </c>
      <c r="C155" s="7" t="s">
        <v>455</v>
      </c>
      <c r="D155" s="8" t="s">
        <v>478</v>
      </c>
      <c r="E155" s="42" t="s">
        <v>457</v>
      </c>
      <c r="F155" s="39" t="s">
        <v>53</v>
      </c>
      <c r="G155" s="24" t="s">
        <v>65</v>
      </c>
      <c r="H155" s="136">
        <v>40.58082</v>
      </c>
      <c r="I155" s="149">
        <v>34</v>
      </c>
      <c r="J155" s="136">
        <f>I155*$J$2</f>
        <v>2.04</v>
      </c>
      <c r="K155" s="136">
        <v>45</v>
      </c>
      <c r="L155" s="139"/>
      <c r="M155" s="139"/>
      <c r="N155" s="136"/>
      <c r="O155" s="11"/>
      <c r="P155" s="136"/>
      <c r="Q155" s="140"/>
      <c r="R155" s="136"/>
      <c r="S155" s="136"/>
      <c r="T155" s="136"/>
      <c r="U155" s="136">
        <f t="shared" si="39"/>
        <v>87.62082000000001</v>
      </c>
    </row>
    <row r="156" spans="1:21" ht="15" hidden="1" outlineLevel="2">
      <c r="A156" s="6" t="s">
        <v>481</v>
      </c>
      <c r="B156" s="7" t="s">
        <v>58</v>
      </c>
      <c r="C156" s="7" t="s">
        <v>455</v>
      </c>
      <c r="D156" s="8" t="s">
        <v>478</v>
      </c>
      <c r="E156" s="42" t="s">
        <v>457</v>
      </c>
      <c r="F156" s="39" t="s">
        <v>53</v>
      </c>
      <c r="G156" s="24" t="s">
        <v>66</v>
      </c>
      <c r="H156" s="136">
        <v>0.9070389999999999</v>
      </c>
      <c r="I156" s="149">
        <v>2</v>
      </c>
      <c r="J156" s="136">
        <f>I156*$J$2</f>
        <v>0.12</v>
      </c>
      <c r="K156" s="136">
        <v>0</v>
      </c>
      <c r="L156" s="139"/>
      <c r="M156" s="139"/>
      <c r="N156" s="136"/>
      <c r="O156" s="11"/>
      <c r="P156" s="136"/>
      <c r="Q156" s="140"/>
      <c r="R156" s="136"/>
      <c r="S156" s="136"/>
      <c r="T156" s="136"/>
      <c r="U156" s="136">
        <f t="shared" si="39"/>
        <v>1.0270389999999998</v>
      </c>
    </row>
    <row r="157" spans="1:21" ht="15" hidden="1" outlineLevel="2">
      <c r="A157" s="28" t="s">
        <v>481</v>
      </c>
      <c r="B157" s="11" t="str">
        <f>B156</f>
        <v>DCM</v>
      </c>
      <c r="C157" s="11" t="str">
        <f>C156</f>
        <v>FINANCE &amp; RISK</v>
      </c>
      <c r="D157" s="13" t="str">
        <f>D156</f>
        <v>708400</v>
      </c>
      <c r="E157" s="38" t="str">
        <f>E156</f>
        <v>72-10</v>
      </c>
      <c r="F157" s="20" t="s">
        <v>615</v>
      </c>
      <c r="G157" s="11" t="s">
        <v>615</v>
      </c>
      <c r="H157" s="136"/>
      <c r="I157" s="140"/>
      <c r="J157" s="136"/>
      <c r="K157" s="136"/>
      <c r="L157" s="139"/>
      <c r="M157" s="139"/>
      <c r="N157" s="136"/>
      <c r="O157" s="29">
        <v>0.75</v>
      </c>
      <c r="P157" s="136">
        <f>O157*$P$2</f>
        <v>54</v>
      </c>
      <c r="Q157" s="140"/>
      <c r="R157" s="136"/>
      <c r="S157" s="136"/>
      <c r="T157" s="136"/>
      <c r="U157" s="136">
        <f t="shared" si="39"/>
        <v>54</v>
      </c>
    </row>
    <row r="158" spans="1:21" s="5" customFormat="1" ht="15.75" outlineLevel="1" collapsed="1">
      <c r="A158" s="170" t="s">
        <v>851</v>
      </c>
      <c r="B158" s="45"/>
      <c r="C158" s="45"/>
      <c r="D158" s="61"/>
      <c r="E158" s="44"/>
      <c r="F158" s="51"/>
      <c r="G158" s="45"/>
      <c r="H158" s="137">
        <f aca="true" t="shared" si="40" ref="H158:U158">SUBTOTAL(9,H152:H157)</f>
        <v>113.6881634</v>
      </c>
      <c r="I158" s="167">
        <f t="shared" si="40"/>
        <v>151</v>
      </c>
      <c r="J158" s="137">
        <f t="shared" si="40"/>
        <v>12.94</v>
      </c>
      <c r="K158" s="137">
        <f t="shared" si="40"/>
        <v>180</v>
      </c>
      <c r="L158" s="141">
        <f t="shared" si="40"/>
        <v>0</v>
      </c>
      <c r="M158" s="141">
        <f t="shared" si="40"/>
        <v>0</v>
      </c>
      <c r="N158" s="137">
        <f t="shared" si="40"/>
        <v>0</v>
      </c>
      <c r="O158" s="46">
        <f t="shared" si="40"/>
        <v>0.75</v>
      </c>
      <c r="P158" s="137">
        <f t="shared" si="40"/>
        <v>54</v>
      </c>
      <c r="Q158" s="167">
        <f t="shared" si="40"/>
        <v>0</v>
      </c>
      <c r="R158" s="137">
        <f t="shared" si="40"/>
        <v>0</v>
      </c>
      <c r="S158" s="137">
        <f t="shared" si="40"/>
        <v>0</v>
      </c>
      <c r="T158" s="171">
        <f t="shared" si="40"/>
        <v>0</v>
      </c>
      <c r="U158" s="137">
        <f t="shared" si="40"/>
        <v>360.6281634</v>
      </c>
    </row>
    <row r="159" spans="1:21" ht="15" hidden="1" outlineLevel="2">
      <c r="A159" s="6" t="s">
        <v>482</v>
      </c>
      <c r="B159" s="7" t="s">
        <v>58</v>
      </c>
      <c r="C159" s="7" t="s">
        <v>483</v>
      </c>
      <c r="D159" s="8" t="s">
        <v>484</v>
      </c>
      <c r="E159" s="42" t="s">
        <v>451</v>
      </c>
      <c r="F159" s="39" t="s">
        <v>53</v>
      </c>
      <c r="G159" s="24" t="s">
        <v>62</v>
      </c>
      <c r="H159" s="136">
        <v>72.93327579999999</v>
      </c>
      <c r="I159" s="149">
        <v>206</v>
      </c>
      <c r="J159" s="136">
        <f>I159*$J$1</f>
        <v>20.6</v>
      </c>
      <c r="K159" s="136">
        <v>30</v>
      </c>
      <c r="L159" s="139"/>
      <c r="M159" s="139"/>
      <c r="N159" s="136"/>
      <c r="O159" s="11"/>
      <c r="P159" s="136"/>
      <c r="Q159" s="140"/>
      <c r="R159" s="136"/>
      <c r="S159" s="136"/>
      <c r="T159" s="136"/>
      <c r="U159" s="136">
        <f aca="true" t="shared" si="41" ref="U159:U166">H159+J159+K159+N159+P159+R159+S159+T159</f>
        <v>123.53327579999998</v>
      </c>
    </row>
    <row r="160" spans="1:21" ht="15" hidden="1" outlineLevel="2">
      <c r="A160" s="6" t="s">
        <v>482</v>
      </c>
      <c r="B160" s="7" t="s">
        <v>58</v>
      </c>
      <c r="C160" s="7" t="s">
        <v>483</v>
      </c>
      <c r="D160" s="8" t="s">
        <v>484</v>
      </c>
      <c r="E160" s="42" t="s">
        <v>451</v>
      </c>
      <c r="F160" s="39" t="s">
        <v>53</v>
      </c>
      <c r="G160" s="24" t="s">
        <v>63</v>
      </c>
      <c r="H160" s="136">
        <v>93.79727</v>
      </c>
      <c r="I160" s="149">
        <v>30</v>
      </c>
      <c r="J160" s="136">
        <f>I160*$J$2</f>
        <v>1.7999999999999998</v>
      </c>
      <c r="K160" s="136">
        <v>0</v>
      </c>
      <c r="L160" s="139"/>
      <c r="M160" s="139"/>
      <c r="N160" s="136"/>
      <c r="O160" s="11"/>
      <c r="P160" s="136"/>
      <c r="Q160" s="140"/>
      <c r="R160" s="136"/>
      <c r="S160" s="136"/>
      <c r="T160" s="136"/>
      <c r="U160" s="136">
        <f t="shared" si="41"/>
        <v>95.59727</v>
      </c>
    </row>
    <row r="161" spans="1:21" ht="15" hidden="1" outlineLevel="2">
      <c r="A161" s="6" t="s">
        <v>482</v>
      </c>
      <c r="B161" s="7" t="s">
        <v>58</v>
      </c>
      <c r="C161" s="7" t="s">
        <v>483</v>
      </c>
      <c r="D161" s="8" t="s">
        <v>484</v>
      </c>
      <c r="E161" s="42" t="s">
        <v>451</v>
      </c>
      <c r="F161" s="39" t="s">
        <v>53</v>
      </c>
      <c r="G161" s="24" t="s">
        <v>246</v>
      </c>
      <c r="H161" s="136">
        <v>1.405124</v>
      </c>
      <c r="I161" s="149">
        <v>1</v>
      </c>
      <c r="J161" s="136">
        <f>I161*$J$2</f>
        <v>0.06</v>
      </c>
      <c r="K161" s="136">
        <v>0</v>
      </c>
      <c r="L161" s="139"/>
      <c r="M161" s="139"/>
      <c r="N161" s="136"/>
      <c r="O161" s="11"/>
      <c r="P161" s="136"/>
      <c r="Q161" s="140"/>
      <c r="R161" s="136"/>
      <c r="S161" s="136"/>
      <c r="T161" s="136"/>
      <c r="U161" s="136">
        <f t="shared" si="41"/>
        <v>1.465124</v>
      </c>
    </row>
    <row r="162" spans="1:21" ht="15" hidden="1" outlineLevel="2">
      <c r="A162" s="6" t="s">
        <v>482</v>
      </c>
      <c r="B162" s="7" t="s">
        <v>58</v>
      </c>
      <c r="C162" s="7" t="s">
        <v>483</v>
      </c>
      <c r="D162" s="8" t="s">
        <v>484</v>
      </c>
      <c r="E162" s="42" t="s">
        <v>451</v>
      </c>
      <c r="F162" s="39" t="s">
        <v>53</v>
      </c>
      <c r="G162" s="24" t="s">
        <v>64</v>
      </c>
      <c r="H162" s="136">
        <v>127.50451699999999</v>
      </c>
      <c r="I162" s="149">
        <v>107</v>
      </c>
      <c r="J162" s="136">
        <f>I162*$J$2</f>
        <v>6.42</v>
      </c>
      <c r="K162" s="136">
        <v>45</v>
      </c>
      <c r="L162" s="139"/>
      <c r="M162" s="139"/>
      <c r="N162" s="136"/>
      <c r="O162" s="11"/>
      <c r="P162" s="136"/>
      <c r="Q162" s="140"/>
      <c r="R162" s="136"/>
      <c r="S162" s="136"/>
      <c r="T162" s="136"/>
      <c r="U162" s="136">
        <f t="shared" si="41"/>
        <v>178.92451699999998</v>
      </c>
    </row>
    <row r="163" spans="1:21" ht="15" hidden="1" outlineLevel="2">
      <c r="A163" s="6" t="s">
        <v>482</v>
      </c>
      <c r="B163" s="7" t="s">
        <v>58</v>
      </c>
      <c r="C163" s="7" t="s">
        <v>483</v>
      </c>
      <c r="D163" s="8" t="s">
        <v>484</v>
      </c>
      <c r="E163" s="42" t="s">
        <v>451</v>
      </c>
      <c r="F163" s="39" t="s">
        <v>53</v>
      </c>
      <c r="G163" s="24" t="s">
        <v>65</v>
      </c>
      <c r="H163" s="136">
        <v>131.38958</v>
      </c>
      <c r="I163" s="149">
        <v>254</v>
      </c>
      <c r="J163" s="136">
        <f>I163*$J$2</f>
        <v>15.24</v>
      </c>
      <c r="K163" s="136">
        <v>30</v>
      </c>
      <c r="L163" s="139"/>
      <c r="M163" s="139"/>
      <c r="N163" s="136"/>
      <c r="O163" s="11"/>
      <c r="P163" s="136"/>
      <c r="Q163" s="140"/>
      <c r="R163" s="136"/>
      <c r="S163" s="136"/>
      <c r="T163" s="136"/>
      <c r="U163" s="136">
        <f t="shared" si="41"/>
        <v>176.62958</v>
      </c>
    </row>
    <row r="164" spans="1:21" ht="15" hidden="1" outlineLevel="2">
      <c r="A164" s="6" t="s">
        <v>482</v>
      </c>
      <c r="B164" s="7" t="s">
        <v>58</v>
      </c>
      <c r="C164" s="7" t="s">
        <v>483</v>
      </c>
      <c r="D164" s="8" t="s">
        <v>484</v>
      </c>
      <c r="E164" s="42" t="s">
        <v>451</v>
      </c>
      <c r="F164" s="39" t="s">
        <v>53</v>
      </c>
      <c r="G164" s="24" t="s">
        <v>66</v>
      </c>
      <c r="H164" s="136">
        <v>58.0693708</v>
      </c>
      <c r="I164" s="149">
        <v>60</v>
      </c>
      <c r="J164" s="136">
        <f>I164*$J$2</f>
        <v>3.5999999999999996</v>
      </c>
      <c r="K164" s="136">
        <v>75</v>
      </c>
      <c r="L164" s="139"/>
      <c r="M164" s="139"/>
      <c r="N164" s="136"/>
      <c r="O164" s="11"/>
      <c r="P164" s="136"/>
      <c r="Q164" s="140"/>
      <c r="R164" s="136"/>
      <c r="S164" s="136"/>
      <c r="T164" s="136"/>
      <c r="U164" s="136">
        <f t="shared" si="41"/>
        <v>136.6693708</v>
      </c>
    </row>
    <row r="165" spans="1:21" ht="15" hidden="1" outlineLevel="2">
      <c r="A165" s="6" t="s">
        <v>482</v>
      </c>
      <c r="B165" s="7" t="s">
        <v>58</v>
      </c>
      <c r="C165" s="7" t="s">
        <v>483</v>
      </c>
      <c r="D165" s="8">
        <v>702000</v>
      </c>
      <c r="E165" s="16" t="s">
        <v>451</v>
      </c>
      <c r="F165" s="39" t="s">
        <v>615</v>
      </c>
      <c r="G165" s="16" t="s">
        <v>615</v>
      </c>
      <c r="H165" s="136"/>
      <c r="I165" s="149"/>
      <c r="J165" s="136"/>
      <c r="K165" s="136"/>
      <c r="L165" s="139"/>
      <c r="M165" s="139"/>
      <c r="N165" s="136"/>
      <c r="O165" s="34">
        <v>0.5</v>
      </c>
      <c r="P165" s="136">
        <f>O165*$P$2</f>
        <v>36</v>
      </c>
      <c r="Q165" s="140"/>
      <c r="R165" s="136"/>
      <c r="S165" s="136"/>
      <c r="T165" s="136"/>
      <c r="U165" s="136">
        <f t="shared" si="41"/>
        <v>36</v>
      </c>
    </row>
    <row r="166" spans="1:21" ht="15" hidden="1" outlineLevel="2">
      <c r="A166" s="36" t="s">
        <v>672</v>
      </c>
      <c r="B166" s="11" t="str">
        <f>B165</f>
        <v>DCM</v>
      </c>
      <c r="C166" s="11" t="str">
        <f>C165</f>
        <v>EMPLOYEE SERVICES</v>
      </c>
      <c r="D166" s="13">
        <f>D165</f>
        <v>702000</v>
      </c>
      <c r="E166" s="27" t="str">
        <f>E165</f>
        <v>72-80</v>
      </c>
      <c r="F166" s="20" t="s">
        <v>683</v>
      </c>
      <c r="G166" s="11" t="s">
        <v>683</v>
      </c>
      <c r="H166" s="136"/>
      <c r="I166" s="140"/>
      <c r="J166" s="136"/>
      <c r="K166" s="136"/>
      <c r="L166" s="139"/>
      <c r="M166" s="139"/>
      <c r="N166" s="136"/>
      <c r="O166" s="34"/>
      <c r="P166" s="136"/>
      <c r="Q166" s="140"/>
      <c r="R166" s="136"/>
      <c r="S166" s="136"/>
      <c r="T166" s="150">
        <f>4.23+5.53</f>
        <v>9.760000000000002</v>
      </c>
      <c r="U166" s="136">
        <f t="shared" si="41"/>
        <v>9.760000000000002</v>
      </c>
    </row>
    <row r="167" spans="1:21" s="5" customFormat="1" ht="15.75" outlineLevel="1" collapsed="1">
      <c r="A167" s="170" t="s">
        <v>852</v>
      </c>
      <c r="B167" s="45"/>
      <c r="C167" s="45"/>
      <c r="D167" s="61"/>
      <c r="E167" s="44"/>
      <c r="F167" s="51"/>
      <c r="G167" s="45"/>
      <c r="H167" s="137">
        <f aca="true" t="shared" si="42" ref="H167:U167">SUBTOTAL(9,H159:H166)</f>
        <v>485.09913759999995</v>
      </c>
      <c r="I167" s="167">
        <f t="shared" si="42"/>
        <v>658</v>
      </c>
      <c r="J167" s="137">
        <f t="shared" si="42"/>
        <v>47.720000000000006</v>
      </c>
      <c r="K167" s="137">
        <f t="shared" si="42"/>
        <v>180</v>
      </c>
      <c r="L167" s="141">
        <f t="shared" si="42"/>
        <v>0</v>
      </c>
      <c r="M167" s="141">
        <f t="shared" si="42"/>
        <v>0</v>
      </c>
      <c r="N167" s="137">
        <f t="shared" si="42"/>
        <v>0</v>
      </c>
      <c r="O167" s="46">
        <f t="shared" si="42"/>
        <v>0.5</v>
      </c>
      <c r="P167" s="137">
        <f t="shared" si="42"/>
        <v>36</v>
      </c>
      <c r="Q167" s="167">
        <f t="shared" si="42"/>
        <v>0</v>
      </c>
      <c r="R167" s="137">
        <f t="shared" si="42"/>
        <v>0</v>
      </c>
      <c r="S167" s="137">
        <f t="shared" si="42"/>
        <v>0</v>
      </c>
      <c r="T167" s="171">
        <f t="shared" si="42"/>
        <v>9.760000000000002</v>
      </c>
      <c r="U167" s="137">
        <f t="shared" si="42"/>
        <v>758.5791376</v>
      </c>
    </row>
    <row r="168" spans="1:21" ht="15" hidden="1" outlineLevel="2">
      <c r="A168" s="9" t="s">
        <v>24</v>
      </c>
      <c r="B168" s="25" t="s">
        <v>58</v>
      </c>
      <c r="C168" s="16" t="s">
        <v>398</v>
      </c>
      <c r="D168" s="13">
        <v>706201</v>
      </c>
      <c r="E168" s="27" t="s">
        <v>400</v>
      </c>
      <c r="F168" s="20" t="s">
        <v>585</v>
      </c>
      <c r="G168" s="27" t="s">
        <v>585</v>
      </c>
      <c r="H168" s="136"/>
      <c r="I168" s="140"/>
      <c r="J168" s="136"/>
      <c r="K168" s="136"/>
      <c r="L168" s="139">
        <v>2</v>
      </c>
      <c r="M168" s="139">
        <v>0.07145</v>
      </c>
      <c r="N168" s="136">
        <f>L168*M168*$N$2</f>
        <v>447.9915</v>
      </c>
      <c r="O168" s="11"/>
      <c r="P168" s="136"/>
      <c r="Q168" s="140"/>
      <c r="R168" s="136"/>
      <c r="S168" s="136"/>
      <c r="T168" s="136"/>
      <c r="U168" s="136">
        <f>H168+J168+K168+N168+P168+R168+S168+T168</f>
        <v>447.9915</v>
      </c>
    </row>
    <row r="169" spans="1:21" s="5" customFormat="1" ht="15.75" outlineLevel="1" collapsed="1">
      <c r="A169" s="170" t="s">
        <v>853</v>
      </c>
      <c r="B169" s="45"/>
      <c r="C169" s="45"/>
      <c r="D169" s="61"/>
      <c r="E169" s="44"/>
      <c r="F169" s="51"/>
      <c r="G169" s="45"/>
      <c r="H169" s="137">
        <f aca="true" t="shared" si="43" ref="H169:U169">SUBTOTAL(9,H168:H168)</f>
        <v>0</v>
      </c>
      <c r="I169" s="167">
        <f t="shared" si="43"/>
        <v>0</v>
      </c>
      <c r="J169" s="137">
        <f t="shared" si="43"/>
        <v>0</v>
      </c>
      <c r="K169" s="137">
        <f t="shared" si="43"/>
        <v>0</v>
      </c>
      <c r="L169" s="141">
        <f t="shared" si="43"/>
        <v>2</v>
      </c>
      <c r="M169" s="141">
        <f t="shared" si="43"/>
        <v>0.07145</v>
      </c>
      <c r="N169" s="137">
        <f t="shared" si="43"/>
        <v>447.9915</v>
      </c>
      <c r="O169" s="46">
        <f t="shared" si="43"/>
        <v>0</v>
      </c>
      <c r="P169" s="137">
        <f t="shared" si="43"/>
        <v>0</v>
      </c>
      <c r="Q169" s="167">
        <f t="shared" si="43"/>
        <v>0</v>
      </c>
      <c r="R169" s="137">
        <f t="shared" si="43"/>
        <v>0</v>
      </c>
      <c r="S169" s="137">
        <f t="shared" si="43"/>
        <v>0</v>
      </c>
      <c r="T169" s="171">
        <f t="shared" si="43"/>
        <v>0</v>
      </c>
      <c r="U169" s="137">
        <f t="shared" si="43"/>
        <v>447.9915</v>
      </c>
    </row>
    <row r="170" spans="1:21" ht="15" hidden="1" outlineLevel="2">
      <c r="A170" s="9" t="s">
        <v>25</v>
      </c>
      <c r="B170" s="25" t="s">
        <v>58</v>
      </c>
      <c r="C170" s="16" t="s">
        <v>398</v>
      </c>
      <c r="D170" s="13">
        <v>706400</v>
      </c>
      <c r="E170" s="27" t="s">
        <v>400</v>
      </c>
      <c r="F170" s="20" t="s">
        <v>585</v>
      </c>
      <c r="G170" s="27" t="s">
        <v>585</v>
      </c>
      <c r="H170" s="136"/>
      <c r="I170" s="140"/>
      <c r="J170" s="136"/>
      <c r="K170" s="136"/>
      <c r="L170" s="139">
        <v>2</v>
      </c>
      <c r="M170" s="139">
        <v>0.07145</v>
      </c>
      <c r="N170" s="136">
        <f>L170*M170*$N$2</f>
        <v>447.9915</v>
      </c>
      <c r="O170" s="11"/>
      <c r="P170" s="136"/>
      <c r="Q170" s="140"/>
      <c r="R170" s="136"/>
      <c r="S170" s="136"/>
      <c r="T170" s="136"/>
      <c r="U170" s="136">
        <f>H170+J170+K170+N170+P170+R170+S170+T170</f>
        <v>447.9915</v>
      </c>
    </row>
    <row r="171" spans="1:21" ht="15" hidden="1" outlineLevel="2">
      <c r="A171" s="9" t="s">
        <v>25</v>
      </c>
      <c r="B171" s="25" t="s">
        <v>58</v>
      </c>
      <c r="C171" s="16" t="s">
        <v>398</v>
      </c>
      <c r="D171" s="13">
        <v>706400</v>
      </c>
      <c r="E171" s="27" t="s">
        <v>400</v>
      </c>
      <c r="F171" s="20" t="s">
        <v>615</v>
      </c>
      <c r="G171" s="27" t="s">
        <v>615</v>
      </c>
      <c r="H171" s="136"/>
      <c r="I171" s="140"/>
      <c r="J171" s="136"/>
      <c r="K171" s="136"/>
      <c r="L171" s="139"/>
      <c r="M171" s="139"/>
      <c r="N171" s="136"/>
      <c r="O171" s="34">
        <v>0.75</v>
      </c>
      <c r="P171" s="136">
        <f>O171*$P$2</f>
        <v>54</v>
      </c>
      <c r="Q171" s="140"/>
      <c r="R171" s="136"/>
      <c r="S171" s="136"/>
      <c r="T171" s="136"/>
      <c r="U171" s="136">
        <f>H171+J171+K171+N171+P171+R171+S171+T171</f>
        <v>54</v>
      </c>
    </row>
    <row r="172" spans="1:21" s="5" customFormat="1" ht="15.75" outlineLevel="1" collapsed="1">
      <c r="A172" s="170" t="s">
        <v>854</v>
      </c>
      <c r="B172" s="45"/>
      <c r="C172" s="45"/>
      <c r="D172" s="61"/>
      <c r="E172" s="44"/>
      <c r="F172" s="51"/>
      <c r="G172" s="45"/>
      <c r="H172" s="137">
        <f aca="true" t="shared" si="44" ref="H172:U172">SUBTOTAL(9,H170:H171)</f>
        <v>0</v>
      </c>
      <c r="I172" s="167">
        <f t="shared" si="44"/>
        <v>0</v>
      </c>
      <c r="J172" s="137">
        <f t="shared" si="44"/>
        <v>0</v>
      </c>
      <c r="K172" s="137">
        <f t="shared" si="44"/>
        <v>0</v>
      </c>
      <c r="L172" s="141">
        <f t="shared" si="44"/>
        <v>2</v>
      </c>
      <c r="M172" s="141">
        <f t="shared" si="44"/>
        <v>0.07145</v>
      </c>
      <c r="N172" s="137">
        <f t="shared" si="44"/>
        <v>447.9915</v>
      </c>
      <c r="O172" s="46">
        <f t="shared" si="44"/>
        <v>0.75</v>
      </c>
      <c r="P172" s="137">
        <f t="shared" si="44"/>
        <v>54</v>
      </c>
      <c r="Q172" s="167">
        <f t="shared" si="44"/>
        <v>0</v>
      </c>
      <c r="R172" s="137">
        <f t="shared" si="44"/>
        <v>0</v>
      </c>
      <c r="S172" s="137">
        <f t="shared" si="44"/>
        <v>0</v>
      </c>
      <c r="T172" s="171">
        <f t="shared" si="44"/>
        <v>0</v>
      </c>
      <c r="U172" s="137">
        <f t="shared" si="44"/>
        <v>501.9915</v>
      </c>
    </row>
    <row r="173" spans="1:21" ht="15" hidden="1" outlineLevel="2">
      <c r="A173" s="6" t="s">
        <v>485</v>
      </c>
      <c r="B173" s="7" t="s">
        <v>58</v>
      </c>
      <c r="C173" s="7" t="s">
        <v>398</v>
      </c>
      <c r="D173" s="8" t="s">
        <v>486</v>
      </c>
      <c r="E173" s="42" t="s">
        <v>400</v>
      </c>
      <c r="F173" s="39" t="s">
        <v>53</v>
      </c>
      <c r="G173" s="24" t="s">
        <v>62</v>
      </c>
      <c r="H173" s="136">
        <v>232.2722402</v>
      </c>
      <c r="I173" s="149">
        <v>691</v>
      </c>
      <c r="J173" s="136">
        <f>I173*$J$1</f>
        <v>69.10000000000001</v>
      </c>
      <c r="K173" s="136">
        <v>90</v>
      </c>
      <c r="L173" s="139"/>
      <c r="M173" s="139"/>
      <c r="N173" s="136"/>
      <c r="O173" s="11"/>
      <c r="P173" s="136"/>
      <c r="Q173" s="140"/>
      <c r="R173" s="136"/>
      <c r="S173" s="136"/>
      <c r="T173" s="136"/>
      <c r="U173" s="136">
        <f aca="true" t="shared" si="45" ref="U173:U180">H173+J173+K173+N173+P173+R173+S173+T173</f>
        <v>391.3722402</v>
      </c>
    </row>
    <row r="174" spans="1:21" ht="15" hidden="1" outlineLevel="2">
      <c r="A174" s="6" t="s">
        <v>485</v>
      </c>
      <c r="B174" s="7" t="s">
        <v>58</v>
      </c>
      <c r="C174" s="7" t="s">
        <v>398</v>
      </c>
      <c r="D174" s="8" t="s">
        <v>486</v>
      </c>
      <c r="E174" s="42" t="s">
        <v>400</v>
      </c>
      <c r="F174" s="39" t="s">
        <v>53</v>
      </c>
      <c r="G174" s="24" t="s">
        <v>63</v>
      </c>
      <c r="H174" s="136">
        <v>42.36344</v>
      </c>
      <c r="I174" s="149">
        <v>26</v>
      </c>
      <c r="J174" s="136">
        <f>I174*$J$2</f>
        <v>1.56</v>
      </c>
      <c r="K174" s="136">
        <v>45</v>
      </c>
      <c r="L174" s="139"/>
      <c r="M174" s="139"/>
      <c r="N174" s="136"/>
      <c r="O174" s="11"/>
      <c r="P174" s="136"/>
      <c r="Q174" s="140"/>
      <c r="R174" s="136"/>
      <c r="S174" s="136"/>
      <c r="T174" s="136"/>
      <c r="U174" s="136">
        <f t="shared" si="45"/>
        <v>88.92344</v>
      </c>
    </row>
    <row r="175" spans="1:21" ht="15" hidden="1" outlineLevel="2">
      <c r="A175" s="6" t="s">
        <v>485</v>
      </c>
      <c r="B175" s="7" t="s">
        <v>58</v>
      </c>
      <c r="C175" s="7" t="s">
        <v>398</v>
      </c>
      <c r="D175" s="8" t="s">
        <v>486</v>
      </c>
      <c r="E175" s="42" t="s">
        <v>400</v>
      </c>
      <c r="F175" s="39" t="s">
        <v>53</v>
      </c>
      <c r="G175" s="24" t="s">
        <v>64</v>
      </c>
      <c r="H175" s="136">
        <v>9.741494</v>
      </c>
      <c r="I175" s="149">
        <v>8</v>
      </c>
      <c r="J175" s="136">
        <f>I175*$J$2</f>
        <v>0.48</v>
      </c>
      <c r="K175" s="136">
        <v>0</v>
      </c>
      <c r="L175" s="139"/>
      <c r="M175" s="139"/>
      <c r="N175" s="136"/>
      <c r="O175" s="11"/>
      <c r="P175" s="136"/>
      <c r="Q175" s="140"/>
      <c r="R175" s="136"/>
      <c r="S175" s="136"/>
      <c r="T175" s="136"/>
      <c r="U175" s="136">
        <f t="shared" si="45"/>
        <v>10.221494</v>
      </c>
    </row>
    <row r="176" spans="1:21" ht="15" hidden="1" outlineLevel="2">
      <c r="A176" s="6" t="s">
        <v>485</v>
      </c>
      <c r="B176" s="7" t="s">
        <v>58</v>
      </c>
      <c r="C176" s="7" t="s">
        <v>398</v>
      </c>
      <c r="D176" s="8" t="s">
        <v>486</v>
      </c>
      <c r="E176" s="42" t="s">
        <v>400</v>
      </c>
      <c r="F176" s="39" t="s">
        <v>53</v>
      </c>
      <c r="G176" s="24" t="s">
        <v>65</v>
      </c>
      <c r="H176" s="136">
        <v>193.036774</v>
      </c>
      <c r="I176" s="149">
        <v>417</v>
      </c>
      <c r="J176" s="136">
        <f>I176*$J$2</f>
        <v>25.02</v>
      </c>
      <c r="K176" s="136">
        <v>30</v>
      </c>
      <c r="L176" s="139"/>
      <c r="M176" s="139"/>
      <c r="N176" s="136"/>
      <c r="O176" s="11"/>
      <c r="P176" s="136"/>
      <c r="Q176" s="140"/>
      <c r="R176" s="136"/>
      <c r="S176" s="136"/>
      <c r="T176" s="136"/>
      <c r="U176" s="136">
        <f t="shared" si="45"/>
        <v>248.05677400000002</v>
      </c>
    </row>
    <row r="177" spans="1:21" ht="15" hidden="1" outlineLevel="2">
      <c r="A177" s="6" t="s">
        <v>485</v>
      </c>
      <c r="B177" s="7" t="s">
        <v>58</v>
      </c>
      <c r="C177" s="7" t="s">
        <v>398</v>
      </c>
      <c r="D177" s="8" t="s">
        <v>486</v>
      </c>
      <c r="E177" s="42" t="s">
        <v>400</v>
      </c>
      <c r="F177" s="39" t="s">
        <v>53</v>
      </c>
      <c r="G177" s="24" t="s">
        <v>66</v>
      </c>
      <c r="H177" s="136">
        <v>10.008887</v>
      </c>
      <c r="I177" s="149">
        <v>9</v>
      </c>
      <c r="J177" s="136">
        <f>I177*$J$2</f>
        <v>0.54</v>
      </c>
      <c r="K177" s="136">
        <v>15</v>
      </c>
      <c r="L177" s="139"/>
      <c r="M177" s="139"/>
      <c r="N177" s="136"/>
      <c r="O177" s="11"/>
      <c r="P177" s="136"/>
      <c r="Q177" s="140"/>
      <c r="R177" s="136"/>
      <c r="S177" s="136"/>
      <c r="T177" s="136"/>
      <c r="U177" s="136">
        <f t="shared" si="45"/>
        <v>25.548887</v>
      </c>
    </row>
    <row r="178" spans="1:21" ht="15" hidden="1" outlineLevel="2">
      <c r="A178" s="6" t="str">
        <f>A177</f>
        <v>M756</v>
      </c>
      <c r="B178" s="11" t="str">
        <f>B177</f>
        <v>DCM</v>
      </c>
      <c r="C178" s="11" t="str">
        <f>C177</f>
        <v>ASSESSMENT &amp; TAXATION</v>
      </c>
      <c r="D178" s="13" t="str">
        <f>D177</f>
        <v>706201</v>
      </c>
      <c r="E178" s="24" t="str">
        <f>E177</f>
        <v>72-30</v>
      </c>
      <c r="F178" s="39" t="s">
        <v>585</v>
      </c>
      <c r="G178" s="24" t="s">
        <v>585</v>
      </c>
      <c r="H178" s="136"/>
      <c r="I178" s="149"/>
      <c r="J178" s="136"/>
      <c r="K178" s="136"/>
      <c r="L178" s="139">
        <v>3</v>
      </c>
      <c r="M178" s="139">
        <v>0.01</v>
      </c>
      <c r="N178" s="136">
        <f>L178*M178*$N$2</f>
        <v>94.05</v>
      </c>
      <c r="O178" s="11"/>
      <c r="P178" s="136"/>
      <c r="Q178" s="140"/>
      <c r="R178" s="136"/>
      <c r="S178" s="136"/>
      <c r="T178" s="136"/>
      <c r="U178" s="136">
        <f t="shared" si="45"/>
        <v>94.05</v>
      </c>
    </row>
    <row r="179" spans="1:21" ht="15" hidden="1" outlineLevel="2">
      <c r="A179" s="28" t="s">
        <v>485</v>
      </c>
      <c r="B179" s="11" t="str">
        <f aca="true" t="shared" si="46" ref="B179:E180">B178</f>
        <v>DCM</v>
      </c>
      <c r="C179" s="11" t="str">
        <f t="shared" si="46"/>
        <v>ASSESSMENT &amp; TAXATION</v>
      </c>
      <c r="D179" s="13" t="str">
        <f t="shared" si="46"/>
        <v>706201</v>
      </c>
      <c r="E179" s="38" t="str">
        <f t="shared" si="46"/>
        <v>72-30</v>
      </c>
      <c r="F179" s="20" t="s">
        <v>615</v>
      </c>
      <c r="G179" s="11" t="s">
        <v>615</v>
      </c>
      <c r="H179" s="136"/>
      <c r="I179" s="140"/>
      <c r="J179" s="136"/>
      <c r="K179" s="136"/>
      <c r="L179" s="139"/>
      <c r="M179" s="139"/>
      <c r="N179" s="136"/>
      <c r="O179" s="29">
        <f>0.75+0.75</f>
        <v>1.5</v>
      </c>
      <c r="P179" s="136">
        <f>O179*$P$2</f>
        <v>108</v>
      </c>
      <c r="Q179" s="140"/>
      <c r="R179" s="136"/>
      <c r="S179" s="136"/>
      <c r="T179" s="136"/>
      <c r="U179" s="136">
        <f t="shared" si="45"/>
        <v>108</v>
      </c>
    </row>
    <row r="180" spans="1:21" ht="15" hidden="1" outlineLevel="2">
      <c r="A180" s="36" t="s">
        <v>673</v>
      </c>
      <c r="B180" s="11" t="str">
        <f t="shared" si="46"/>
        <v>DCM</v>
      </c>
      <c r="C180" s="11" t="str">
        <f t="shared" si="46"/>
        <v>ASSESSMENT &amp; TAXATION</v>
      </c>
      <c r="D180" s="13" t="str">
        <f t="shared" si="46"/>
        <v>706201</v>
      </c>
      <c r="E180" s="27" t="str">
        <f t="shared" si="46"/>
        <v>72-30</v>
      </c>
      <c r="F180" s="20" t="s">
        <v>683</v>
      </c>
      <c r="G180" s="11" t="s">
        <v>683</v>
      </c>
      <c r="H180" s="136"/>
      <c r="I180" s="140"/>
      <c r="J180" s="136"/>
      <c r="K180" s="136"/>
      <c r="L180" s="139"/>
      <c r="M180" s="139"/>
      <c r="N180" s="136"/>
      <c r="O180" s="34"/>
      <c r="P180" s="136"/>
      <c r="Q180" s="140"/>
      <c r="R180" s="136"/>
      <c r="S180" s="136"/>
      <c r="T180" s="150">
        <v>137.62</v>
      </c>
      <c r="U180" s="136">
        <f t="shared" si="45"/>
        <v>137.62</v>
      </c>
    </row>
    <row r="181" spans="1:21" s="5" customFormat="1" ht="15.75" outlineLevel="1" collapsed="1">
      <c r="A181" s="170" t="s">
        <v>855</v>
      </c>
      <c r="B181" s="45"/>
      <c r="C181" s="45"/>
      <c r="D181" s="61"/>
      <c r="E181" s="44"/>
      <c r="F181" s="51"/>
      <c r="G181" s="45"/>
      <c r="H181" s="137">
        <f aca="true" t="shared" si="47" ref="H181:U181">SUBTOTAL(9,H173:H180)</f>
        <v>487.42283520000007</v>
      </c>
      <c r="I181" s="167">
        <f t="shared" si="47"/>
        <v>1151</v>
      </c>
      <c r="J181" s="137">
        <f t="shared" si="47"/>
        <v>96.70000000000002</v>
      </c>
      <c r="K181" s="137">
        <f t="shared" si="47"/>
        <v>180</v>
      </c>
      <c r="L181" s="141">
        <f t="shared" si="47"/>
        <v>3</v>
      </c>
      <c r="M181" s="141">
        <f t="shared" si="47"/>
        <v>0.01</v>
      </c>
      <c r="N181" s="137">
        <f t="shared" si="47"/>
        <v>94.05</v>
      </c>
      <c r="O181" s="46">
        <f t="shared" si="47"/>
        <v>1.5</v>
      </c>
      <c r="P181" s="137">
        <f t="shared" si="47"/>
        <v>108</v>
      </c>
      <c r="Q181" s="167">
        <f t="shared" si="47"/>
        <v>0</v>
      </c>
      <c r="R181" s="137">
        <f t="shared" si="47"/>
        <v>0</v>
      </c>
      <c r="S181" s="137">
        <f t="shared" si="47"/>
        <v>0</v>
      </c>
      <c r="T181" s="171">
        <f t="shared" si="47"/>
        <v>137.62</v>
      </c>
      <c r="U181" s="137">
        <f t="shared" si="47"/>
        <v>1103.7928352</v>
      </c>
    </row>
    <row r="182" spans="1:21" ht="15" hidden="1" outlineLevel="2">
      <c r="A182" s="6" t="s">
        <v>487</v>
      </c>
      <c r="B182" s="7" t="s">
        <v>58</v>
      </c>
      <c r="C182" s="7" t="s">
        <v>398</v>
      </c>
      <c r="D182" s="8" t="s">
        <v>488</v>
      </c>
      <c r="E182" s="42" t="s">
        <v>400</v>
      </c>
      <c r="F182" s="39" t="s">
        <v>53</v>
      </c>
      <c r="G182" s="24" t="s">
        <v>62</v>
      </c>
      <c r="H182" s="136">
        <v>22651.829936399947</v>
      </c>
      <c r="I182" s="149">
        <v>67429</v>
      </c>
      <c r="J182" s="136">
        <f>I182*$J$1</f>
        <v>6742.900000000001</v>
      </c>
      <c r="K182" s="136">
        <v>0</v>
      </c>
      <c r="L182" s="139"/>
      <c r="M182" s="139"/>
      <c r="N182" s="136"/>
      <c r="O182" s="11"/>
      <c r="P182" s="136"/>
      <c r="Q182" s="140"/>
      <c r="R182" s="136"/>
      <c r="S182" s="136"/>
      <c r="T182" s="136"/>
      <c r="U182" s="136">
        <f aca="true" t="shared" si="48" ref="U182:U193">H182+J182+K182+N182+P182+R182+S182+T182</f>
        <v>29394.72993639995</v>
      </c>
    </row>
    <row r="183" spans="1:21" ht="15" hidden="1" outlineLevel="2">
      <c r="A183" s="6" t="s">
        <v>487</v>
      </c>
      <c r="B183" s="7" t="s">
        <v>58</v>
      </c>
      <c r="C183" s="7" t="s">
        <v>398</v>
      </c>
      <c r="D183" s="8" t="s">
        <v>488</v>
      </c>
      <c r="E183" s="42" t="s">
        <v>400</v>
      </c>
      <c r="F183" s="39" t="s">
        <v>53</v>
      </c>
      <c r="G183" s="24" t="s">
        <v>63</v>
      </c>
      <c r="H183" s="136">
        <v>5812.347855999993</v>
      </c>
      <c r="I183" s="149">
        <v>1807</v>
      </c>
      <c r="J183" s="136">
        <f aca="true" t="shared" si="49" ref="J183:J189">I183*$J$2</f>
        <v>108.42</v>
      </c>
      <c r="K183" s="136">
        <v>0</v>
      </c>
      <c r="L183" s="139"/>
      <c r="M183" s="139"/>
      <c r="N183" s="136"/>
      <c r="O183" s="11"/>
      <c r="P183" s="136"/>
      <c r="Q183" s="140"/>
      <c r="R183" s="136"/>
      <c r="S183" s="136"/>
      <c r="T183" s="136"/>
      <c r="U183" s="136">
        <f t="shared" si="48"/>
        <v>5920.767855999993</v>
      </c>
    </row>
    <row r="184" spans="1:21" ht="15" hidden="1" outlineLevel="2">
      <c r="A184" s="6" t="s">
        <v>487</v>
      </c>
      <c r="B184" s="7" t="s">
        <v>58</v>
      </c>
      <c r="C184" s="7" t="s">
        <v>398</v>
      </c>
      <c r="D184" s="8" t="s">
        <v>488</v>
      </c>
      <c r="E184" s="42" t="s">
        <v>400</v>
      </c>
      <c r="F184" s="39" t="s">
        <v>53</v>
      </c>
      <c r="G184" s="24" t="s">
        <v>64</v>
      </c>
      <c r="H184" s="136">
        <v>23197.47733519999</v>
      </c>
      <c r="I184" s="149">
        <v>16254</v>
      </c>
      <c r="J184" s="136">
        <f t="shared" si="49"/>
        <v>975.24</v>
      </c>
      <c r="K184" s="136">
        <v>15</v>
      </c>
      <c r="L184" s="139"/>
      <c r="M184" s="139"/>
      <c r="N184" s="136"/>
      <c r="O184" s="11"/>
      <c r="P184" s="136"/>
      <c r="Q184" s="140"/>
      <c r="R184" s="136"/>
      <c r="S184" s="136"/>
      <c r="T184" s="136"/>
      <c r="U184" s="136">
        <f t="shared" si="48"/>
        <v>24187.71733519999</v>
      </c>
    </row>
    <row r="185" spans="1:21" ht="15" hidden="1" outlineLevel="2">
      <c r="A185" s="6" t="s">
        <v>487</v>
      </c>
      <c r="B185" s="7" t="s">
        <v>58</v>
      </c>
      <c r="C185" s="7" t="s">
        <v>398</v>
      </c>
      <c r="D185" s="8" t="s">
        <v>488</v>
      </c>
      <c r="E185" s="42" t="s">
        <v>400</v>
      </c>
      <c r="F185" s="39" t="s">
        <v>53</v>
      </c>
      <c r="G185" s="24" t="s">
        <v>65</v>
      </c>
      <c r="H185" s="136">
        <v>1921.0645608000011</v>
      </c>
      <c r="I185" s="149">
        <v>2639</v>
      </c>
      <c r="J185" s="136">
        <f t="shared" si="49"/>
        <v>158.34</v>
      </c>
      <c r="K185" s="136">
        <v>45</v>
      </c>
      <c r="L185" s="139"/>
      <c r="M185" s="139"/>
      <c r="N185" s="136"/>
      <c r="O185" s="11"/>
      <c r="P185" s="136"/>
      <c r="Q185" s="140"/>
      <c r="R185" s="136"/>
      <c r="S185" s="136"/>
      <c r="T185" s="136"/>
      <c r="U185" s="136">
        <f t="shared" si="48"/>
        <v>2124.404560800001</v>
      </c>
    </row>
    <row r="186" spans="1:21" ht="15" hidden="1" outlineLevel="2">
      <c r="A186" s="6" t="s">
        <v>487</v>
      </c>
      <c r="B186" s="7" t="s">
        <v>58</v>
      </c>
      <c r="C186" s="7" t="s">
        <v>398</v>
      </c>
      <c r="D186" s="8" t="s">
        <v>488</v>
      </c>
      <c r="E186" s="42" t="s">
        <v>400</v>
      </c>
      <c r="F186" s="39" t="s">
        <v>53</v>
      </c>
      <c r="G186" s="24" t="s">
        <v>66</v>
      </c>
      <c r="H186" s="136">
        <v>18091.6226806</v>
      </c>
      <c r="I186" s="149">
        <v>17127</v>
      </c>
      <c r="J186" s="136">
        <f t="shared" si="49"/>
        <v>1027.62</v>
      </c>
      <c r="K186" s="136">
        <v>120</v>
      </c>
      <c r="L186" s="139"/>
      <c r="M186" s="139"/>
      <c r="N186" s="136"/>
      <c r="O186" s="11"/>
      <c r="P186" s="136"/>
      <c r="Q186" s="140"/>
      <c r="R186" s="136"/>
      <c r="S186" s="136"/>
      <c r="T186" s="136"/>
      <c r="U186" s="136">
        <f t="shared" si="48"/>
        <v>19239.2426806</v>
      </c>
    </row>
    <row r="187" spans="1:21" ht="15" hidden="1" outlineLevel="2">
      <c r="A187" s="6" t="s">
        <v>487</v>
      </c>
      <c r="B187" s="7" t="s">
        <v>58</v>
      </c>
      <c r="C187" s="7" t="s">
        <v>398</v>
      </c>
      <c r="D187" s="8" t="s">
        <v>488</v>
      </c>
      <c r="E187" s="42" t="s">
        <v>400</v>
      </c>
      <c r="F187" s="39" t="s">
        <v>53</v>
      </c>
      <c r="G187" s="24" t="s">
        <v>489</v>
      </c>
      <c r="H187" s="136">
        <v>31.898412</v>
      </c>
      <c r="I187" s="149">
        <v>24</v>
      </c>
      <c r="J187" s="136">
        <f t="shared" si="49"/>
        <v>1.44</v>
      </c>
      <c r="K187" s="136">
        <v>0</v>
      </c>
      <c r="L187" s="139"/>
      <c r="M187" s="139"/>
      <c r="N187" s="136"/>
      <c r="O187" s="11"/>
      <c r="P187" s="136"/>
      <c r="Q187" s="140"/>
      <c r="R187" s="136"/>
      <c r="S187" s="136"/>
      <c r="T187" s="136"/>
      <c r="U187" s="136">
        <f t="shared" si="48"/>
        <v>33.338412</v>
      </c>
    </row>
    <row r="188" spans="1:21" ht="15" hidden="1" outlineLevel="2">
      <c r="A188" s="6" t="s">
        <v>487</v>
      </c>
      <c r="B188" s="7" t="s">
        <v>58</v>
      </c>
      <c r="C188" s="7" t="s">
        <v>398</v>
      </c>
      <c r="D188" s="8" t="s">
        <v>488</v>
      </c>
      <c r="E188" s="42" t="s">
        <v>400</v>
      </c>
      <c r="F188" s="39" t="s">
        <v>53</v>
      </c>
      <c r="G188" s="11" t="s">
        <v>104</v>
      </c>
      <c r="H188" s="136">
        <v>8.032276</v>
      </c>
      <c r="I188" s="140">
        <v>3</v>
      </c>
      <c r="J188" s="136">
        <f t="shared" si="49"/>
        <v>0.18</v>
      </c>
      <c r="K188" s="136">
        <v>0</v>
      </c>
      <c r="L188" s="139"/>
      <c r="M188" s="139"/>
      <c r="N188" s="136"/>
      <c r="O188" s="11"/>
      <c r="P188" s="136"/>
      <c r="Q188" s="140"/>
      <c r="R188" s="136"/>
      <c r="S188" s="136"/>
      <c r="T188" s="136"/>
      <c r="U188" s="136">
        <f t="shared" si="48"/>
        <v>8.212276</v>
      </c>
    </row>
    <row r="189" spans="1:21" ht="15" hidden="1" outlineLevel="2">
      <c r="A189" s="6" t="s">
        <v>487</v>
      </c>
      <c r="B189" s="7" t="s">
        <v>58</v>
      </c>
      <c r="C189" s="7" t="s">
        <v>398</v>
      </c>
      <c r="D189" s="8" t="s">
        <v>488</v>
      </c>
      <c r="E189" s="42" t="s">
        <v>400</v>
      </c>
      <c r="F189" s="39" t="s">
        <v>53</v>
      </c>
      <c r="G189" s="24" t="s">
        <v>167</v>
      </c>
      <c r="H189" s="136">
        <v>9.949116799999999</v>
      </c>
      <c r="I189" s="149">
        <v>12</v>
      </c>
      <c r="J189" s="136">
        <f t="shared" si="49"/>
        <v>0.72</v>
      </c>
      <c r="K189" s="136">
        <v>0</v>
      </c>
      <c r="L189" s="139"/>
      <c r="M189" s="139"/>
      <c r="N189" s="136"/>
      <c r="O189" s="11"/>
      <c r="P189" s="136"/>
      <c r="Q189" s="140"/>
      <c r="R189" s="136"/>
      <c r="S189" s="136"/>
      <c r="T189" s="136"/>
      <c r="U189" s="136">
        <f t="shared" si="48"/>
        <v>10.6691168</v>
      </c>
    </row>
    <row r="190" spans="1:21" ht="15" hidden="1" outlineLevel="2">
      <c r="A190" s="6" t="str">
        <f>A189</f>
        <v>M757</v>
      </c>
      <c r="B190" s="11" t="str">
        <f>B189</f>
        <v>DCM</v>
      </c>
      <c r="C190" s="11" t="str">
        <f>C189</f>
        <v>ASSESSMENT &amp; TAXATION</v>
      </c>
      <c r="D190" s="13" t="str">
        <f>D189</f>
        <v>706203</v>
      </c>
      <c r="E190" s="24" t="str">
        <f>E189</f>
        <v>72-30</v>
      </c>
      <c r="F190" s="39" t="s">
        <v>585</v>
      </c>
      <c r="G190" s="24" t="s">
        <v>585</v>
      </c>
      <c r="H190" s="136"/>
      <c r="I190" s="149"/>
      <c r="J190" s="136"/>
      <c r="K190" s="136"/>
      <c r="L190" s="139">
        <v>3</v>
      </c>
      <c r="M190" s="139">
        <v>0.3</v>
      </c>
      <c r="N190" s="136">
        <f>L190*M190*$N$2</f>
        <v>2821.4999999999995</v>
      </c>
      <c r="O190" s="11"/>
      <c r="P190" s="136"/>
      <c r="Q190" s="140"/>
      <c r="R190" s="136"/>
      <c r="S190" s="136"/>
      <c r="T190" s="136"/>
      <c r="U190" s="136">
        <f t="shared" si="48"/>
        <v>2821.4999999999995</v>
      </c>
    </row>
    <row r="191" spans="1:21" ht="15" hidden="1" outlineLevel="2">
      <c r="A191" s="28" t="s">
        <v>487</v>
      </c>
      <c r="B191" s="11" t="str">
        <f aca="true" t="shared" si="50" ref="B191:E192">B190</f>
        <v>DCM</v>
      </c>
      <c r="C191" s="11" t="str">
        <f t="shared" si="50"/>
        <v>ASSESSMENT &amp; TAXATION</v>
      </c>
      <c r="D191" s="13" t="str">
        <f t="shared" si="50"/>
        <v>706203</v>
      </c>
      <c r="E191" s="38" t="str">
        <f t="shared" si="50"/>
        <v>72-30</v>
      </c>
      <c r="F191" s="20" t="s">
        <v>615</v>
      </c>
      <c r="G191" s="11" t="s">
        <v>615</v>
      </c>
      <c r="H191" s="136"/>
      <c r="I191" s="140"/>
      <c r="J191" s="136"/>
      <c r="K191" s="136"/>
      <c r="L191" s="139"/>
      <c r="M191" s="139"/>
      <c r="N191" s="136"/>
      <c r="O191" s="29">
        <v>2</v>
      </c>
      <c r="P191" s="136">
        <f>O191*$P$2</f>
        <v>144</v>
      </c>
      <c r="Q191" s="140"/>
      <c r="R191" s="136"/>
      <c r="S191" s="136"/>
      <c r="T191" s="136"/>
      <c r="U191" s="136">
        <f t="shared" si="48"/>
        <v>144</v>
      </c>
    </row>
    <row r="192" spans="1:21" ht="15" hidden="1" outlineLevel="2">
      <c r="A192" s="36" t="s">
        <v>674</v>
      </c>
      <c r="B192" s="11" t="str">
        <f t="shared" si="50"/>
        <v>DCM</v>
      </c>
      <c r="C192" s="11" t="str">
        <f t="shared" si="50"/>
        <v>ASSESSMENT &amp; TAXATION</v>
      </c>
      <c r="D192" s="13" t="str">
        <f t="shared" si="50"/>
        <v>706203</v>
      </c>
      <c r="E192" s="27" t="str">
        <f t="shared" si="50"/>
        <v>72-30</v>
      </c>
      <c r="F192" s="20" t="s">
        <v>683</v>
      </c>
      <c r="G192" s="11" t="s">
        <v>683</v>
      </c>
      <c r="H192" s="136"/>
      <c r="I192" s="140"/>
      <c r="J192" s="136"/>
      <c r="K192" s="136"/>
      <c r="L192" s="139"/>
      <c r="M192" s="139"/>
      <c r="N192" s="136"/>
      <c r="O192" s="34"/>
      <c r="P192" s="136"/>
      <c r="Q192" s="140"/>
      <c r="R192" s="136"/>
      <c r="S192" s="136"/>
      <c r="T192" s="150">
        <f>296.92+22.11</f>
        <v>319.03000000000003</v>
      </c>
      <c r="U192" s="136">
        <f t="shared" si="48"/>
        <v>319.03000000000003</v>
      </c>
    </row>
    <row r="193" spans="1:21" ht="15" hidden="1" outlineLevel="2">
      <c r="A193" s="36" t="s">
        <v>674</v>
      </c>
      <c r="B193" s="11" t="str">
        <f>B191</f>
        <v>DCM</v>
      </c>
      <c r="C193" s="11" t="str">
        <f>C191</f>
        <v>ASSESSMENT &amp; TAXATION</v>
      </c>
      <c r="D193" s="13" t="str">
        <f>D191</f>
        <v>706203</v>
      </c>
      <c r="E193" s="27" t="str">
        <f>E191</f>
        <v>72-30</v>
      </c>
      <c r="F193" s="20" t="s">
        <v>53</v>
      </c>
      <c r="G193" s="11" t="s">
        <v>684</v>
      </c>
      <c r="H193" s="136"/>
      <c r="I193" s="140"/>
      <c r="J193" s="136"/>
      <c r="K193" s="136"/>
      <c r="L193" s="139"/>
      <c r="M193" s="139"/>
      <c r="N193" s="136"/>
      <c r="O193" s="34"/>
      <c r="P193" s="136"/>
      <c r="Q193" s="140"/>
      <c r="R193" s="136">
        <v>132.86</v>
      </c>
      <c r="S193" s="136"/>
      <c r="T193" s="150"/>
      <c r="U193" s="136">
        <f t="shared" si="48"/>
        <v>132.86</v>
      </c>
    </row>
    <row r="194" spans="1:21" s="5" customFormat="1" ht="15.75" outlineLevel="1" collapsed="1">
      <c r="A194" s="170" t="s">
        <v>856</v>
      </c>
      <c r="B194" s="45"/>
      <c r="C194" s="45"/>
      <c r="D194" s="61"/>
      <c r="E194" s="44"/>
      <c r="F194" s="51"/>
      <c r="G194" s="45"/>
      <c r="H194" s="137">
        <f aca="true" t="shared" si="51" ref="H194:U194">SUBTOTAL(9,H182:H193)</f>
        <v>71724.22217379992</v>
      </c>
      <c r="I194" s="167">
        <f t="shared" si="51"/>
        <v>105295</v>
      </c>
      <c r="J194" s="137">
        <f t="shared" si="51"/>
        <v>9014.86</v>
      </c>
      <c r="K194" s="137">
        <f t="shared" si="51"/>
        <v>180</v>
      </c>
      <c r="L194" s="141">
        <f t="shared" si="51"/>
        <v>3</v>
      </c>
      <c r="M194" s="141">
        <f t="shared" si="51"/>
        <v>0.3</v>
      </c>
      <c r="N194" s="137">
        <f t="shared" si="51"/>
        <v>2821.4999999999995</v>
      </c>
      <c r="O194" s="46">
        <f t="shared" si="51"/>
        <v>2</v>
      </c>
      <c r="P194" s="137">
        <f t="shared" si="51"/>
        <v>144</v>
      </c>
      <c r="Q194" s="167">
        <f t="shared" si="51"/>
        <v>0</v>
      </c>
      <c r="R194" s="137">
        <f t="shared" si="51"/>
        <v>132.86</v>
      </c>
      <c r="S194" s="137">
        <f t="shared" si="51"/>
        <v>0</v>
      </c>
      <c r="T194" s="171">
        <f t="shared" si="51"/>
        <v>319.03000000000003</v>
      </c>
      <c r="U194" s="137">
        <f t="shared" si="51"/>
        <v>84336.47217379994</v>
      </c>
    </row>
    <row r="195" spans="1:21" ht="15" hidden="1" outlineLevel="2">
      <c r="A195" s="6" t="s">
        <v>490</v>
      </c>
      <c r="B195" s="7" t="s">
        <v>58</v>
      </c>
      <c r="C195" s="7" t="s">
        <v>398</v>
      </c>
      <c r="D195" s="8" t="s">
        <v>491</v>
      </c>
      <c r="E195" s="42" t="s">
        <v>400</v>
      </c>
      <c r="F195" s="39" t="s">
        <v>53</v>
      </c>
      <c r="G195" s="24" t="s">
        <v>62</v>
      </c>
      <c r="H195" s="136">
        <v>4217.793217400002</v>
      </c>
      <c r="I195" s="149">
        <v>12850</v>
      </c>
      <c r="J195" s="136">
        <f>I195*$J$1</f>
        <v>1285</v>
      </c>
      <c r="K195" s="136">
        <v>15</v>
      </c>
      <c r="L195" s="139"/>
      <c r="M195" s="139"/>
      <c r="N195" s="136"/>
      <c r="O195" s="11"/>
      <c r="P195" s="136"/>
      <c r="Q195" s="140"/>
      <c r="R195" s="136"/>
      <c r="S195" s="136"/>
      <c r="T195" s="136"/>
      <c r="U195" s="136">
        <f aca="true" t="shared" si="52" ref="U195:U205">H195+J195+K195+N195+P195+R195+S195+T195</f>
        <v>5517.793217400002</v>
      </c>
    </row>
    <row r="196" spans="1:21" ht="15" hidden="1" outlineLevel="2">
      <c r="A196" s="6" t="s">
        <v>490</v>
      </c>
      <c r="B196" s="7" t="s">
        <v>58</v>
      </c>
      <c r="C196" s="7" t="s">
        <v>398</v>
      </c>
      <c r="D196" s="8" t="s">
        <v>491</v>
      </c>
      <c r="E196" s="42" t="s">
        <v>400</v>
      </c>
      <c r="F196" s="39" t="s">
        <v>53</v>
      </c>
      <c r="G196" s="24" t="s">
        <v>63</v>
      </c>
      <c r="H196" s="136">
        <v>215.28387159999994</v>
      </c>
      <c r="I196" s="149">
        <v>85</v>
      </c>
      <c r="J196" s="136">
        <f>I196*$J$2</f>
        <v>5.1</v>
      </c>
      <c r="K196" s="136">
        <v>0</v>
      </c>
      <c r="L196" s="139"/>
      <c r="M196" s="139"/>
      <c r="N196" s="136"/>
      <c r="O196" s="11"/>
      <c r="P196" s="136"/>
      <c r="Q196" s="140"/>
      <c r="R196" s="136"/>
      <c r="S196" s="136"/>
      <c r="T196" s="136"/>
      <c r="U196" s="136">
        <f t="shared" si="52"/>
        <v>220.38387159999994</v>
      </c>
    </row>
    <row r="197" spans="1:21" ht="15" hidden="1" outlineLevel="2">
      <c r="A197" s="6" t="s">
        <v>490</v>
      </c>
      <c r="B197" s="7" t="s">
        <v>58</v>
      </c>
      <c r="C197" s="7" t="s">
        <v>398</v>
      </c>
      <c r="D197" s="8" t="s">
        <v>491</v>
      </c>
      <c r="E197" s="42" t="s">
        <v>400</v>
      </c>
      <c r="F197" s="39" t="s">
        <v>53</v>
      </c>
      <c r="G197" s="24" t="s">
        <v>64</v>
      </c>
      <c r="H197" s="136">
        <v>240.44607719999996</v>
      </c>
      <c r="I197" s="149">
        <v>159</v>
      </c>
      <c r="J197" s="136">
        <f>I197*$J$2</f>
        <v>9.54</v>
      </c>
      <c r="K197" s="136">
        <v>0</v>
      </c>
      <c r="L197" s="139"/>
      <c r="M197" s="139"/>
      <c r="N197" s="136"/>
      <c r="O197" s="11"/>
      <c r="P197" s="136"/>
      <c r="Q197" s="140"/>
      <c r="R197" s="136"/>
      <c r="S197" s="136"/>
      <c r="T197" s="136"/>
      <c r="U197" s="136">
        <f t="shared" si="52"/>
        <v>249.98607719999995</v>
      </c>
    </row>
    <row r="198" spans="1:21" ht="15" hidden="1" outlineLevel="2">
      <c r="A198" s="6" t="s">
        <v>490</v>
      </c>
      <c r="B198" s="7" t="s">
        <v>58</v>
      </c>
      <c r="C198" s="7" t="s">
        <v>398</v>
      </c>
      <c r="D198" s="8" t="s">
        <v>491</v>
      </c>
      <c r="E198" s="42" t="s">
        <v>400</v>
      </c>
      <c r="F198" s="39" t="s">
        <v>53</v>
      </c>
      <c r="G198" s="24" t="s">
        <v>65</v>
      </c>
      <c r="H198" s="136">
        <v>2235.3467583999995</v>
      </c>
      <c r="I198" s="149">
        <v>3224</v>
      </c>
      <c r="J198" s="136">
        <f>I198*$J$2</f>
        <v>193.44</v>
      </c>
      <c r="K198" s="136">
        <v>135</v>
      </c>
      <c r="L198" s="139"/>
      <c r="M198" s="139"/>
      <c r="N198" s="136"/>
      <c r="O198" s="11"/>
      <c r="P198" s="136"/>
      <c r="Q198" s="140"/>
      <c r="R198" s="136"/>
      <c r="S198" s="136"/>
      <c r="T198" s="136"/>
      <c r="U198" s="136">
        <f t="shared" si="52"/>
        <v>2563.7867583999996</v>
      </c>
    </row>
    <row r="199" spans="1:21" ht="15" hidden="1" outlineLevel="2">
      <c r="A199" s="6" t="s">
        <v>490</v>
      </c>
      <c r="B199" s="7" t="s">
        <v>58</v>
      </c>
      <c r="C199" s="7" t="s">
        <v>398</v>
      </c>
      <c r="D199" s="8" t="s">
        <v>491</v>
      </c>
      <c r="E199" s="42" t="s">
        <v>400</v>
      </c>
      <c r="F199" s="39" t="s">
        <v>53</v>
      </c>
      <c r="G199" s="24" t="s">
        <v>66</v>
      </c>
      <c r="H199" s="136">
        <v>421.84548839999997</v>
      </c>
      <c r="I199" s="149">
        <v>423</v>
      </c>
      <c r="J199" s="136">
        <f>I199*$J$2</f>
        <v>25.38</v>
      </c>
      <c r="K199" s="136">
        <v>30</v>
      </c>
      <c r="L199" s="139"/>
      <c r="M199" s="139"/>
      <c r="N199" s="136"/>
      <c r="O199" s="11"/>
      <c r="P199" s="136"/>
      <c r="Q199" s="140"/>
      <c r="R199" s="136"/>
      <c r="S199" s="136"/>
      <c r="T199" s="136"/>
      <c r="U199" s="136">
        <f t="shared" si="52"/>
        <v>477.22548839999996</v>
      </c>
    </row>
    <row r="200" spans="1:21" ht="15" hidden="1" outlineLevel="2">
      <c r="A200" s="6" t="s">
        <v>490</v>
      </c>
      <c r="B200" s="7" t="s">
        <v>58</v>
      </c>
      <c r="C200" s="7" t="s">
        <v>398</v>
      </c>
      <c r="D200" s="8" t="s">
        <v>491</v>
      </c>
      <c r="E200" s="42" t="s">
        <v>400</v>
      </c>
      <c r="F200" s="39" t="s">
        <v>53</v>
      </c>
      <c r="G200" s="24" t="s">
        <v>167</v>
      </c>
      <c r="H200" s="136">
        <v>24.212174</v>
      </c>
      <c r="I200" s="149">
        <v>34</v>
      </c>
      <c r="J200" s="136">
        <f>I200*$J$2</f>
        <v>2.04</v>
      </c>
      <c r="K200" s="136">
        <v>0</v>
      </c>
      <c r="L200" s="139"/>
      <c r="M200" s="139"/>
      <c r="N200" s="136"/>
      <c r="O200" s="11"/>
      <c r="P200" s="136"/>
      <c r="Q200" s="140"/>
      <c r="R200" s="136"/>
      <c r="S200" s="136"/>
      <c r="T200" s="136"/>
      <c r="U200" s="136">
        <f t="shared" si="52"/>
        <v>26.252174</v>
      </c>
    </row>
    <row r="201" spans="1:21" ht="15" hidden="1" outlineLevel="2">
      <c r="A201" s="6" t="str">
        <f>A200</f>
        <v>M758</v>
      </c>
      <c r="B201" s="11" t="str">
        <f>B200</f>
        <v>DCM</v>
      </c>
      <c r="C201" s="11" t="str">
        <f>C200</f>
        <v>ASSESSMENT &amp; TAXATION</v>
      </c>
      <c r="D201" s="13" t="str">
        <f>D200</f>
        <v>706404</v>
      </c>
      <c r="E201" s="24" t="str">
        <f>E200</f>
        <v>72-30</v>
      </c>
      <c r="F201" s="39" t="s">
        <v>585</v>
      </c>
      <c r="G201" s="24" t="s">
        <v>585</v>
      </c>
      <c r="H201" s="136"/>
      <c r="I201" s="149"/>
      <c r="J201" s="136"/>
      <c r="K201" s="136"/>
      <c r="L201" s="139">
        <v>3</v>
      </c>
      <c r="M201" s="139">
        <v>0.54</v>
      </c>
      <c r="N201" s="136">
        <f>L201*M201*$N$2</f>
        <v>5078.700000000001</v>
      </c>
      <c r="O201" s="11"/>
      <c r="P201" s="136"/>
      <c r="Q201" s="140"/>
      <c r="R201" s="136"/>
      <c r="S201" s="136"/>
      <c r="T201" s="136"/>
      <c r="U201" s="136">
        <f t="shared" si="52"/>
        <v>5078.700000000001</v>
      </c>
    </row>
    <row r="202" spans="1:21" ht="15" hidden="1" outlineLevel="2">
      <c r="A202" s="28" t="s">
        <v>490</v>
      </c>
      <c r="B202" s="11" t="str">
        <f>B201</f>
        <v>DCM</v>
      </c>
      <c r="C202" s="11" t="str">
        <f>C201</f>
        <v>ASSESSMENT &amp; TAXATION</v>
      </c>
      <c r="D202" s="13" t="str">
        <f>D201</f>
        <v>706404</v>
      </c>
      <c r="E202" s="38" t="str">
        <f>E201</f>
        <v>72-30</v>
      </c>
      <c r="F202" s="20" t="s">
        <v>615</v>
      </c>
      <c r="G202" s="11" t="s">
        <v>615</v>
      </c>
      <c r="H202" s="136"/>
      <c r="I202" s="140"/>
      <c r="J202" s="136"/>
      <c r="K202" s="136"/>
      <c r="L202" s="139"/>
      <c r="M202" s="139"/>
      <c r="N202" s="136"/>
      <c r="O202" s="29">
        <f>6.75+0.25</f>
        <v>7</v>
      </c>
      <c r="P202" s="136">
        <f>O202*$P$2</f>
        <v>504</v>
      </c>
      <c r="Q202" s="140"/>
      <c r="R202" s="136"/>
      <c r="S202" s="136"/>
      <c r="T202" s="136"/>
      <c r="U202" s="136">
        <f t="shared" si="52"/>
        <v>504</v>
      </c>
    </row>
    <row r="203" spans="1:21" ht="15" hidden="1" outlineLevel="2">
      <c r="A203" s="28" t="s">
        <v>490</v>
      </c>
      <c r="B203" s="11" t="str">
        <f>B201</f>
        <v>DCM</v>
      </c>
      <c r="C203" s="11" t="str">
        <f>C201</f>
        <v>ASSESSMENT &amp; TAXATION</v>
      </c>
      <c r="D203" s="13" t="str">
        <f>D201</f>
        <v>706404</v>
      </c>
      <c r="E203" s="38" t="str">
        <f>E201</f>
        <v>72-30</v>
      </c>
      <c r="F203" s="20" t="s">
        <v>53</v>
      </c>
      <c r="G203" s="11" t="s">
        <v>684</v>
      </c>
      <c r="H203" s="136"/>
      <c r="I203" s="140"/>
      <c r="J203" s="136"/>
      <c r="K203" s="136"/>
      <c r="L203" s="139"/>
      <c r="M203" s="139"/>
      <c r="N203" s="136"/>
      <c r="O203" s="29"/>
      <c r="P203" s="136"/>
      <c r="Q203" s="140"/>
      <c r="R203" s="136">
        <v>4840.43</v>
      </c>
      <c r="S203" s="136"/>
      <c r="T203" s="136"/>
      <c r="U203" s="136">
        <f t="shared" si="52"/>
        <v>4840.43</v>
      </c>
    </row>
    <row r="204" spans="1:21" ht="15" hidden="1" outlineLevel="2">
      <c r="A204" s="28" t="s">
        <v>490</v>
      </c>
      <c r="B204" s="11" t="str">
        <f>B201</f>
        <v>DCM</v>
      </c>
      <c r="C204" s="11" t="str">
        <f>C201</f>
        <v>ASSESSMENT &amp; TAXATION</v>
      </c>
      <c r="D204" s="13" t="str">
        <f>D201</f>
        <v>706404</v>
      </c>
      <c r="E204" s="38" t="str">
        <f>E201</f>
        <v>72-30</v>
      </c>
      <c r="F204" s="20" t="s">
        <v>53</v>
      </c>
      <c r="G204" s="11" t="s">
        <v>687</v>
      </c>
      <c r="H204" s="136"/>
      <c r="I204" s="140"/>
      <c r="J204" s="136"/>
      <c r="K204" s="136"/>
      <c r="L204" s="139"/>
      <c r="M204" s="139"/>
      <c r="N204" s="136"/>
      <c r="O204" s="29"/>
      <c r="P204" s="136"/>
      <c r="Q204" s="140"/>
      <c r="R204" s="136">
        <v>88643.74</v>
      </c>
      <c r="S204" s="136"/>
      <c r="T204" s="136"/>
      <c r="U204" s="136">
        <f t="shared" si="52"/>
        <v>88643.74</v>
      </c>
    </row>
    <row r="205" spans="1:21" ht="15" hidden="1" outlineLevel="2">
      <c r="A205" s="28" t="s">
        <v>490</v>
      </c>
      <c r="B205" s="11" t="str">
        <f>B201</f>
        <v>DCM</v>
      </c>
      <c r="C205" s="11" t="str">
        <f>C201</f>
        <v>ASSESSMENT &amp; TAXATION</v>
      </c>
      <c r="D205" s="13" t="str">
        <f>D201</f>
        <v>706404</v>
      </c>
      <c r="E205" s="38" t="str">
        <f>E201</f>
        <v>72-30</v>
      </c>
      <c r="F205" s="20" t="s">
        <v>584</v>
      </c>
      <c r="G205" s="11" t="s">
        <v>584</v>
      </c>
      <c r="H205" s="136"/>
      <c r="I205" s="140"/>
      <c r="J205" s="136"/>
      <c r="K205" s="136"/>
      <c r="L205" s="139"/>
      <c r="M205" s="139"/>
      <c r="N205" s="136"/>
      <c r="O205" s="29"/>
      <c r="P205" s="136"/>
      <c r="Q205" s="140">
        <f>318290+5251+3323</f>
        <v>326864</v>
      </c>
      <c r="R205" s="136">
        <f>14180.97+180+146+82.98</f>
        <v>14589.949999999999</v>
      </c>
      <c r="S205" s="136">
        <f>Q205*$S$2</f>
        <v>3268.64</v>
      </c>
      <c r="T205" s="136"/>
      <c r="U205" s="136">
        <f t="shared" si="52"/>
        <v>17858.59</v>
      </c>
    </row>
    <row r="206" spans="1:21" s="5" customFormat="1" ht="15.75" outlineLevel="1" collapsed="1">
      <c r="A206" s="170" t="s">
        <v>857</v>
      </c>
      <c r="B206" s="45"/>
      <c r="C206" s="45"/>
      <c r="D206" s="61"/>
      <c r="E206" s="44"/>
      <c r="F206" s="51"/>
      <c r="G206" s="45"/>
      <c r="H206" s="137">
        <f aca="true" t="shared" si="53" ref="H206:U206">SUBTOTAL(9,H195:H205)</f>
        <v>7354.927587000002</v>
      </c>
      <c r="I206" s="167">
        <f t="shared" si="53"/>
        <v>16775</v>
      </c>
      <c r="J206" s="137">
        <f t="shared" si="53"/>
        <v>1520.5</v>
      </c>
      <c r="K206" s="137">
        <f t="shared" si="53"/>
        <v>180</v>
      </c>
      <c r="L206" s="141">
        <f t="shared" si="53"/>
        <v>3</v>
      </c>
      <c r="M206" s="141">
        <f t="shared" si="53"/>
        <v>0.54</v>
      </c>
      <c r="N206" s="137">
        <f t="shared" si="53"/>
        <v>5078.700000000001</v>
      </c>
      <c r="O206" s="46">
        <f t="shared" si="53"/>
        <v>7</v>
      </c>
      <c r="P206" s="137">
        <f t="shared" si="53"/>
        <v>504</v>
      </c>
      <c r="Q206" s="167">
        <f t="shared" si="53"/>
        <v>326864</v>
      </c>
      <c r="R206" s="137">
        <f t="shared" si="53"/>
        <v>108074.12000000001</v>
      </c>
      <c r="S206" s="137">
        <f t="shared" si="53"/>
        <v>3268.64</v>
      </c>
      <c r="T206" s="171">
        <f t="shared" si="53"/>
        <v>0</v>
      </c>
      <c r="U206" s="137">
        <f t="shared" si="53"/>
        <v>125980.887587</v>
      </c>
    </row>
    <row r="207" spans="1:21" ht="15" hidden="1" outlineLevel="2">
      <c r="A207" s="6" t="s">
        <v>492</v>
      </c>
      <c r="B207" s="7" t="s">
        <v>58</v>
      </c>
      <c r="C207" s="7" t="s">
        <v>398</v>
      </c>
      <c r="D207" s="8" t="s">
        <v>493</v>
      </c>
      <c r="E207" s="42" t="s">
        <v>400</v>
      </c>
      <c r="F207" s="39" t="s">
        <v>53</v>
      </c>
      <c r="G207" s="24" t="s">
        <v>62</v>
      </c>
      <c r="H207" s="136">
        <v>6629.364545999992</v>
      </c>
      <c r="I207" s="149">
        <v>19752</v>
      </c>
      <c r="J207" s="136">
        <f>I207*$J$1</f>
        <v>1975.2</v>
      </c>
      <c r="K207" s="136">
        <v>15</v>
      </c>
      <c r="L207" s="139"/>
      <c r="M207" s="139"/>
      <c r="N207" s="136"/>
      <c r="O207" s="11"/>
      <c r="P207" s="136"/>
      <c r="Q207" s="140"/>
      <c r="R207" s="136"/>
      <c r="S207" s="136"/>
      <c r="T207" s="136"/>
      <c r="U207" s="136">
        <f aca="true" t="shared" si="54" ref="U207:U217">H207+J207+K207+N207+P207+R207+S207+T207</f>
        <v>8619.564545999992</v>
      </c>
    </row>
    <row r="208" spans="1:21" ht="15" hidden="1" outlineLevel="2">
      <c r="A208" s="6" t="s">
        <v>492</v>
      </c>
      <c r="B208" s="7" t="s">
        <v>58</v>
      </c>
      <c r="C208" s="7" t="s">
        <v>398</v>
      </c>
      <c r="D208" s="8" t="s">
        <v>493</v>
      </c>
      <c r="E208" s="42" t="s">
        <v>400</v>
      </c>
      <c r="F208" s="39" t="s">
        <v>53</v>
      </c>
      <c r="G208" s="24" t="s">
        <v>63</v>
      </c>
      <c r="H208" s="136">
        <v>574.2227973999998</v>
      </c>
      <c r="I208" s="149">
        <v>80</v>
      </c>
      <c r="J208" s="136">
        <f>I208*$J$2</f>
        <v>4.8</v>
      </c>
      <c r="K208" s="136">
        <v>0</v>
      </c>
      <c r="L208" s="139"/>
      <c r="M208" s="139"/>
      <c r="N208" s="136"/>
      <c r="O208" s="11"/>
      <c r="P208" s="136"/>
      <c r="Q208" s="140"/>
      <c r="R208" s="136"/>
      <c r="S208" s="136"/>
      <c r="T208" s="136"/>
      <c r="U208" s="136">
        <f t="shared" si="54"/>
        <v>579.0227973999997</v>
      </c>
    </row>
    <row r="209" spans="1:21" ht="15" hidden="1" outlineLevel="2">
      <c r="A209" s="6" t="s">
        <v>492</v>
      </c>
      <c r="B209" s="7" t="s">
        <v>58</v>
      </c>
      <c r="C209" s="7" t="s">
        <v>398</v>
      </c>
      <c r="D209" s="8" t="s">
        <v>493</v>
      </c>
      <c r="E209" s="42" t="s">
        <v>400</v>
      </c>
      <c r="F209" s="39" t="s">
        <v>53</v>
      </c>
      <c r="G209" s="24" t="s">
        <v>64</v>
      </c>
      <c r="H209" s="136">
        <v>652.1987905999998</v>
      </c>
      <c r="I209" s="149">
        <v>382</v>
      </c>
      <c r="J209" s="136">
        <f>I209*$J$2</f>
        <v>22.919999999999998</v>
      </c>
      <c r="K209" s="136">
        <v>0</v>
      </c>
      <c r="L209" s="139"/>
      <c r="M209" s="139"/>
      <c r="N209" s="136"/>
      <c r="O209" s="11"/>
      <c r="P209" s="136"/>
      <c r="Q209" s="140"/>
      <c r="R209" s="136"/>
      <c r="S209" s="136"/>
      <c r="T209" s="136"/>
      <c r="U209" s="136">
        <f t="shared" si="54"/>
        <v>675.1187905999998</v>
      </c>
    </row>
    <row r="210" spans="1:21" ht="15" hidden="1" outlineLevel="2">
      <c r="A210" s="6" t="s">
        <v>492</v>
      </c>
      <c r="B210" s="7" t="s">
        <v>58</v>
      </c>
      <c r="C210" s="7" t="s">
        <v>398</v>
      </c>
      <c r="D210" s="8" t="s">
        <v>493</v>
      </c>
      <c r="E210" s="42" t="s">
        <v>400</v>
      </c>
      <c r="F210" s="39" t="s">
        <v>53</v>
      </c>
      <c r="G210" s="24" t="s">
        <v>65</v>
      </c>
      <c r="H210" s="136">
        <v>25997.28337639996</v>
      </c>
      <c r="I210" s="149">
        <v>6265</v>
      </c>
      <c r="J210" s="136">
        <f>I210*$J$2</f>
        <v>375.9</v>
      </c>
      <c r="K210" s="136">
        <v>90</v>
      </c>
      <c r="L210" s="139"/>
      <c r="M210" s="139"/>
      <c r="N210" s="136"/>
      <c r="O210" s="11"/>
      <c r="P210" s="136"/>
      <c r="Q210" s="140"/>
      <c r="R210" s="136"/>
      <c r="S210" s="136"/>
      <c r="T210" s="136"/>
      <c r="U210" s="136">
        <f t="shared" si="54"/>
        <v>26463.18337639996</v>
      </c>
    </row>
    <row r="211" spans="1:21" ht="15" hidden="1" outlineLevel="2">
      <c r="A211" s="6" t="s">
        <v>492</v>
      </c>
      <c r="B211" s="7" t="s">
        <v>58</v>
      </c>
      <c r="C211" s="7" t="s">
        <v>398</v>
      </c>
      <c r="D211" s="8" t="s">
        <v>493</v>
      </c>
      <c r="E211" s="42" t="s">
        <v>400</v>
      </c>
      <c r="F211" s="39" t="s">
        <v>53</v>
      </c>
      <c r="G211" s="24" t="s">
        <v>66</v>
      </c>
      <c r="H211" s="136">
        <v>782.4212787999999</v>
      </c>
      <c r="I211" s="149">
        <v>695</v>
      </c>
      <c r="J211" s="136">
        <f>I211*$J$2</f>
        <v>41.699999999999996</v>
      </c>
      <c r="K211" s="136">
        <v>45</v>
      </c>
      <c r="L211" s="139"/>
      <c r="M211" s="139"/>
      <c r="N211" s="136"/>
      <c r="O211" s="11"/>
      <c r="P211" s="136"/>
      <c r="Q211" s="140"/>
      <c r="R211" s="136"/>
      <c r="S211" s="136"/>
      <c r="T211" s="136"/>
      <c r="U211" s="136">
        <f t="shared" si="54"/>
        <v>869.1212787999999</v>
      </c>
    </row>
    <row r="212" spans="1:21" ht="15" hidden="1" outlineLevel="2">
      <c r="A212" s="6" t="s">
        <v>492</v>
      </c>
      <c r="B212" s="7" t="s">
        <v>58</v>
      </c>
      <c r="C212" s="7" t="s">
        <v>398</v>
      </c>
      <c r="D212" s="8" t="s">
        <v>493</v>
      </c>
      <c r="E212" s="42" t="s">
        <v>400</v>
      </c>
      <c r="F212" s="39" t="s">
        <v>53</v>
      </c>
      <c r="G212" s="24" t="s">
        <v>167</v>
      </c>
      <c r="H212" s="136">
        <v>245.80127739999998</v>
      </c>
      <c r="I212" s="149">
        <v>269</v>
      </c>
      <c r="J212" s="136">
        <f>I212*$J$2</f>
        <v>16.14</v>
      </c>
      <c r="K212" s="136">
        <v>30</v>
      </c>
      <c r="L212" s="139"/>
      <c r="M212" s="139"/>
      <c r="N212" s="136"/>
      <c r="O212" s="11"/>
      <c r="P212" s="136"/>
      <c r="Q212" s="140"/>
      <c r="R212" s="136"/>
      <c r="S212" s="136"/>
      <c r="T212" s="136"/>
      <c r="U212" s="136">
        <f t="shared" si="54"/>
        <v>291.9412774</v>
      </c>
    </row>
    <row r="213" spans="1:21" ht="15" hidden="1" outlineLevel="2">
      <c r="A213" s="28" t="s">
        <v>492</v>
      </c>
      <c r="B213" s="11" t="str">
        <f>B212</f>
        <v>DCM</v>
      </c>
      <c r="C213" s="11" t="str">
        <f>C212</f>
        <v>ASSESSMENT &amp; TAXATION</v>
      </c>
      <c r="D213" s="13" t="str">
        <f>D212</f>
        <v>706204</v>
      </c>
      <c r="E213" s="38" t="str">
        <f>E212</f>
        <v>72-30</v>
      </c>
      <c r="F213" s="20" t="s">
        <v>615</v>
      </c>
      <c r="G213" s="11" t="s">
        <v>615</v>
      </c>
      <c r="H213" s="136"/>
      <c r="I213" s="140"/>
      <c r="J213" s="136"/>
      <c r="K213" s="136"/>
      <c r="L213" s="139"/>
      <c r="M213" s="139"/>
      <c r="N213" s="136"/>
      <c r="O213" s="29">
        <f>1+0.5</f>
        <v>1.5</v>
      </c>
      <c r="P213" s="136">
        <f>O213*$P$2</f>
        <v>108</v>
      </c>
      <c r="Q213" s="140"/>
      <c r="R213" s="136"/>
      <c r="S213" s="136"/>
      <c r="T213" s="136"/>
      <c r="U213" s="136">
        <f t="shared" si="54"/>
        <v>108</v>
      </c>
    </row>
    <row r="214" spans="1:21" ht="15" hidden="1" outlineLevel="2">
      <c r="A214" s="28" t="s">
        <v>492</v>
      </c>
      <c r="B214" s="11" t="str">
        <f>B212</f>
        <v>DCM</v>
      </c>
      <c r="C214" s="11" t="str">
        <f>C212</f>
        <v>ASSESSMENT &amp; TAXATION</v>
      </c>
      <c r="D214" s="13" t="str">
        <f>D212</f>
        <v>706204</v>
      </c>
      <c r="E214" s="38" t="str">
        <f>E212</f>
        <v>72-30</v>
      </c>
      <c r="F214" s="20" t="s">
        <v>53</v>
      </c>
      <c r="G214" s="11" t="s">
        <v>627</v>
      </c>
      <c r="H214" s="136"/>
      <c r="I214" s="140"/>
      <c r="J214" s="136"/>
      <c r="K214" s="136"/>
      <c r="L214" s="139"/>
      <c r="M214" s="139"/>
      <c r="N214" s="136"/>
      <c r="O214" s="29"/>
      <c r="P214" s="136"/>
      <c r="Q214" s="140"/>
      <c r="R214" s="136">
        <v>950</v>
      </c>
      <c r="S214" s="136"/>
      <c r="T214" s="136"/>
      <c r="U214" s="136">
        <f t="shared" si="54"/>
        <v>950</v>
      </c>
    </row>
    <row r="215" spans="1:21" ht="15" hidden="1" outlineLevel="2">
      <c r="A215" s="36" t="s">
        <v>675</v>
      </c>
      <c r="B215" s="11" t="str">
        <f>B214</f>
        <v>DCM</v>
      </c>
      <c r="C215" s="11" t="str">
        <f>C214</f>
        <v>ASSESSMENT &amp; TAXATION</v>
      </c>
      <c r="D215" s="13" t="str">
        <f>D214</f>
        <v>706204</v>
      </c>
      <c r="E215" s="27" t="str">
        <f>E214</f>
        <v>72-30</v>
      </c>
      <c r="F215" s="20" t="s">
        <v>683</v>
      </c>
      <c r="G215" s="11" t="s">
        <v>683</v>
      </c>
      <c r="H215" s="136"/>
      <c r="I215" s="140"/>
      <c r="J215" s="136"/>
      <c r="K215" s="136"/>
      <c r="L215" s="139"/>
      <c r="M215" s="139"/>
      <c r="N215" s="136"/>
      <c r="O215" s="34"/>
      <c r="P215" s="136"/>
      <c r="Q215" s="140"/>
      <c r="R215" s="136"/>
      <c r="S215" s="136"/>
      <c r="T215" s="150">
        <v>42.37</v>
      </c>
      <c r="U215" s="136">
        <f t="shared" si="54"/>
        <v>42.37</v>
      </c>
    </row>
    <row r="216" spans="1:21" ht="15" hidden="1" outlineLevel="2">
      <c r="A216" s="36" t="s">
        <v>675</v>
      </c>
      <c r="B216" s="11" t="str">
        <f>B214</f>
        <v>DCM</v>
      </c>
      <c r="C216" s="11" t="str">
        <f>C214</f>
        <v>ASSESSMENT &amp; TAXATION</v>
      </c>
      <c r="D216" s="13" t="str">
        <f>D214</f>
        <v>706204</v>
      </c>
      <c r="E216" s="27" t="str">
        <f>E214</f>
        <v>72-30</v>
      </c>
      <c r="F216" s="20" t="s">
        <v>53</v>
      </c>
      <c r="G216" s="11" t="s">
        <v>687</v>
      </c>
      <c r="H216" s="136"/>
      <c r="I216" s="140"/>
      <c r="J216" s="136"/>
      <c r="K216" s="136"/>
      <c r="L216" s="139"/>
      <c r="M216" s="139"/>
      <c r="N216" s="136"/>
      <c r="O216" s="34"/>
      <c r="P216" s="136"/>
      <c r="Q216" s="140"/>
      <c r="R216" s="136">
        <v>30833.85</v>
      </c>
      <c r="S216" s="136"/>
      <c r="T216" s="150"/>
      <c r="U216" s="136">
        <f t="shared" si="54"/>
        <v>30833.85</v>
      </c>
    </row>
    <row r="217" spans="1:21" ht="15" hidden="1" outlineLevel="2">
      <c r="A217" s="36" t="s">
        <v>675</v>
      </c>
      <c r="B217" s="11" t="str">
        <f>B214</f>
        <v>DCM</v>
      </c>
      <c r="C217" s="11" t="str">
        <f>C214</f>
        <v>ASSESSMENT &amp; TAXATION</v>
      </c>
      <c r="D217" s="13" t="str">
        <f>D214</f>
        <v>706204</v>
      </c>
      <c r="E217" s="27" t="str">
        <f>E214</f>
        <v>72-30</v>
      </c>
      <c r="F217" s="20" t="s">
        <v>584</v>
      </c>
      <c r="G217" s="11" t="s">
        <v>584</v>
      </c>
      <c r="H217" s="136"/>
      <c r="I217" s="140"/>
      <c r="J217" s="136"/>
      <c r="K217" s="136"/>
      <c r="L217" s="139"/>
      <c r="M217" s="139"/>
      <c r="N217" s="136"/>
      <c r="O217" s="34"/>
      <c r="P217" s="136"/>
      <c r="Q217" s="140">
        <f>38189+24824+28583+28590+18813</f>
        <v>138999</v>
      </c>
      <c r="R217" s="136">
        <f>1031.48+678+620.43+714.58+775+554+470.4</f>
        <v>4843.889999999999</v>
      </c>
      <c r="S217" s="136">
        <f>Q217*$S$2</f>
        <v>1389.99</v>
      </c>
      <c r="T217" s="150"/>
      <c r="U217" s="136">
        <f t="shared" si="54"/>
        <v>6233.879999999999</v>
      </c>
    </row>
    <row r="218" spans="1:21" s="5" customFormat="1" ht="15.75" outlineLevel="1" collapsed="1">
      <c r="A218" s="170" t="s">
        <v>858</v>
      </c>
      <c r="B218" s="45"/>
      <c r="C218" s="45"/>
      <c r="D218" s="61"/>
      <c r="E218" s="44"/>
      <c r="F218" s="51"/>
      <c r="G218" s="45"/>
      <c r="H218" s="137">
        <f aca="true" t="shared" si="55" ref="H218:U218">SUBTOTAL(9,H207:H217)</f>
        <v>34881.29206659995</v>
      </c>
      <c r="I218" s="167">
        <f t="shared" si="55"/>
        <v>27443</v>
      </c>
      <c r="J218" s="137">
        <f t="shared" si="55"/>
        <v>2436.66</v>
      </c>
      <c r="K218" s="137">
        <f t="shared" si="55"/>
        <v>180</v>
      </c>
      <c r="L218" s="141">
        <f t="shared" si="55"/>
        <v>0</v>
      </c>
      <c r="M218" s="141">
        <f t="shared" si="55"/>
        <v>0</v>
      </c>
      <c r="N218" s="137">
        <f t="shared" si="55"/>
        <v>0</v>
      </c>
      <c r="O218" s="46">
        <f t="shared" si="55"/>
        <v>1.5</v>
      </c>
      <c r="P218" s="137">
        <f t="shared" si="55"/>
        <v>108</v>
      </c>
      <c r="Q218" s="167">
        <f t="shared" si="55"/>
        <v>138999</v>
      </c>
      <c r="R218" s="137">
        <f t="shared" si="55"/>
        <v>36627.74</v>
      </c>
      <c r="S218" s="137">
        <f t="shared" si="55"/>
        <v>1389.99</v>
      </c>
      <c r="T218" s="171">
        <f t="shared" si="55"/>
        <v>42.37</v>
      </c>
      <c r="U218" s="137">
        <f t="shared" si="55"/>
        <v>75666.05206659995</v>
      </c>
    </row>
    <row r="219" spans="1:21" ht="15" hidden="1" outlineLevel="2">
      <c r="A219" s="6" t="s">
        <v>494</v>
      </c>
      <c r="B219" s="7" t="s">
        <v>58</v>
      </c>
      <c r="C219" s="7" t="s">
        <v>398</v>
      </c>
      <c r="D219" s="8" t="s">
        <v>495</v>
      </c>
      <c r="E219" s="42" t="s">
        <v>400</v>
      </c>
      <c r="F219" s="39" t="s">
        <v>53</v>
      </c>
      <c r="G219" s="11" t="s">
        <v>64</v>
      </c>
      <c r="H219" s="136">
        <v>47.879076</v>
      </c>
      <c r="I219" s="140">
        <v>50</v>
      </c>
      <c r="J219" s="136">
        <f>I219*$J$2</f>
        <v>3</v>
      </c>
      <c r="K219" s="136">
        <v>15</v>
      </c>
      <c r="L219" s="139"/>
      <c r="M219" s="139"/>
      <c r="N219" s="136"/>
      <c r="O219" s="11"/>
      <c r="P219" s="136"/>
      <c r="Q219" s="140"/>
      <c r="R219" s="136"/>
      <c r="S219" s="136"/>
      <c r="T219" s="136"/>
      <c r="U219" s="136">
        <f>H219+J219+K219+N219+P219+R219+S219+T219</f>
        <v>65.879076</v>
      </c>
    </row>
    <row r="220" spans="1:21" ht="15" hidden="1" outlineLevel="2">
      <c r="A220" s="6" t="str">
        <f>A219</f>
        <v>M766</v>
      </c>
      <c r="B220" s="11" t="str">
        <f>B219</f>
        <v>DCM</v>
      </c>
      <c r="C220" s="11" t="str">
        <f>C219</f>
        <v>ASSESSMENT &amp; TAXATION</v>
      </c>
      <c r="D220" s="13" t="str">
        <f>D219</f>
        <v>705401</v>
      </c>
      <c r="E220" s="24" t="str">
        <f>E219</f>
        <v>72-30</v>
      </c>
      <c r="F220" s="39" t="s">
        <v>585</v>
      </c>
      <c r="G220" s="24" t="s">
        <v>585</v>
      </c>
      <c r="H220" s="136"/>
      <c r="I220" s="140"/>
      <c r="J220" s="136"/>
      <c r="K220" s="136"/>
      <c r="L220" s="139">
        <v>3</v>
      </c>
      <c r="M220" s="139">
        <v>0.13</v>
      </c>
      <c r="N220" s="136">
        <f>L220*M220*$N$2</f>
        <v>1222.65</v>
      </c>
      <c r="O220" s="11"/>
      <c r="P220" s="136"/>
      <c r="Q220" s="140"/>
      <c r="R220" s="136"/>
      <c r="S220" s="136"/>
      <c r="T220" s="136"/>
      <c r="U220" s="136">
        <f>H220+J220+K220+N220+P220+R220+S220+T220</f>
        <v>1222.65</v>
      </c>
    </row>
    <row r="221" spans="1:21" s="5" customFormat="1" ht="15.75" outlineLevel="1" collapsed="1">
      <c r="A221" s="170" t="s">
        <v>859</v>
      </c>
      <c r="B221" s="45"/>
      <c r="C221" s="45"/>
      <c r="D221" s="61"/>
      <c r="E221" s="44"/>
      <c r="F221" s="51"/>
      <c r="G221" s="45"/>
      <c r="H221" s="137">
        <f aca="true" t="shared" si="56" ref="H221:U221">SUBTOTAL(9,H219:H220)</f>
        <v>47.879076</v>
      </c>
      <c r="I221" s="167">
        <f t="shared" si="56"/>
        <v>50</v>
      </c>
      <c r="J221" s="137">
        <f t="shared" si="56"/>
        <v>3</v>
      </c>
      <c r="K221" s="137">
        <f t="shared" si="56"/>
        <v>15</v>
      </c>
      <c r="L221" s="141">
        <f t="shared" si="56"/>
        <v>3</v>
      </c>
      <c r="M221" s="141">
        <f t="shared" si="56"/>
        <v>0.13</v>
      </c>
      <c r="N221" s="137">
        <f t="shared" si="56"/>
        <v>1222.65</v>
      </c>
      <c r="O221" s="46">
        <f t="shared" si="56"/>
        <v>0</v>
      </c>
      <c r="P221" s="137">
        <f t="shared" si="56"/>
        <v>0</v>
      </c>
      <c r="Q221" s="167">
        <f t="shared" si="56"/>
        <v>0</v>
      </c>
      <c r="R221" s="137">
        <f t="shared" si="56"/>
        <v>0</v>
      </c>
      <c r="S221" s="137">
        <f t="shared" si="56"/>
        <v>0</v>
      </c>
      <c r="T221" s="171">
        <f t="shared" si="56"/>
        <v>0</v>
      </c>
      <c r="U221" s="137">
        <f t="shared" si="56"/>
        <v>1288.529076</v>
      </c>
    </row>
    <row r="222" spans="1:21" ht="15" hidden="1" outlineLevel="2">
      <c r="A222" s="6" t="s">
        <v>506</v>
      </c>
      <c r="B222" s="7" t="s">
        <v>58</v>
      </c>
      <c r="C222" s="42" t="s">
        <v>2</v>
      </c>
      <c r="D222" s="8" t="s">
        <v>507</v>
      </c>
      <c r="E222" s="42" t="s">
        <v>508</v>
      </c>
      <c r="F222" s="39" t="s">
        <v>53</v>
      </c>
      <c r="G222" s="24" t="s">
        <v>62</v>
      </c>
      <c r="H222" s="136">
        <v>400.87663420000024</v>
      </c>
      <c r="I222" s="149">
        <v>1187</v>
      </c>
      <c r="J222" s="136">
        <f>I222*$J$1</f>
        <v>118.7</v>
      </c>
      <c r="K222" s="136">
        <v>45</v>
      </c>
      <c r="L222" s="139"/>
      <c r="M222" s="139"/>
      <c r="N222" s="136"/>
      <c r="O222" s="11"/>
      <c r="P222" s="136"/>
      <c r="Q222" s="140"/>
      <c r="R222" s="136"/>
      <c r="S222" s="136"/>
      <c r="T222" s="136"/>
      <c r="U222" s="136">
        <f aca="true" t="shared" si="57" ref="U222:U231">H222+J222+K222+N222+P222+R222+S222+T222</f>
        <v>564.5766342000003</v>
      </c>
    </row>
    <row r="223" spans="1:21" ht="15" hidden="1" outlineLevel="2">
      <c r="A223" s="6" t="s">
        <v>506</v>
      </c>
      <c r="B223" s="7" t="s">
        <v>58</v>
      </c>
      <c r="C223" s="42" t="s">
        <v>2</v>
      </c>
      <c r="D223" s="8" t="s">
        <v>507</v>
      </c>
      <c r="E223" s="42" t="s">
        <v>508</v>
      </c>
      <c r="F223" s="39" t="s">
        <v>53</v>
      </c>
      <c r="G223" s="24" t="s">
        <v>63</v>
      </c>
      <c r="H223" s="136">
        <v>195.689732</v>
      </c>
      <c r="I223" s="149">
        <v>65</v>
      </c>
      <c r="J223" s="136">
        <f aca="true" t="shared" si="58" ref="J223:J228">I223*$J$2</f>
        <v>3.9</v>
      </c>
      <c r="K223" s="136">
        <v>15</v>
      </c>
      <c r="L223" s="139"/>
      <c r="M223" s="139"/>
      <c r="N223" s="136"/>
      <c r="O223" s="11"/>
      <c r="P223" s="136"/>
      <c r="Q223" s="140"/>
      <c r="R223" s="136"/>
      <c r="S223" s="136"/>
      <c r="T223" s="136"/>
      <c r="U223" s="136">
        <f t="shared" si="57"/>
        <v>214.589732</v>
      </c>
    </row>
    <row r="224" spans="1:21" ht="15" hidden="1" outlineLevel="2">
      <c r="A224" s="6" t="s">
        <v>506</v>
      </c>
      <c r="B224" s="7" t="s">
        <v>58</v>
      </c>
      <c r="C224" s="42" t="s">
        <v>2</v>
      </c>
      <c r="D224" s="8" t="s">
        <v>507</v>
      </c>
      <c r="E224" s="42" t="s">
        <v>508</v>
      </c>
      <c r="F224" s="39" t="s">
        <v>53</v>
      </c>
      <c r="G224" s="24" t="s">
        <v>64</v>
      </c>
      <c r="H224" s="136">
        <v>238.70435260000002</v>
      </c>
      <c r="I224" s="149">
        <v>217</v>
      </c>
      <c r="J224" s="136">
        <f t="shared" si="58"/>
        <v>13.02</v>
      </c>
      <c r="K224" s="136">
        <v>30</v>
      </c>
      <c r="L224" s="139"/>
      <c r="M224" s="139"/>
      <c r="N224" s="136"/>
      <c r="O224" s="11"/>
      <c r="P224" s="136"/>
      <c r="Q224" s="140"/>
      <c r="R224" s="136"/>
      <c r="S224" s="136"/>
      <c r="T224" s="136"/>
      <c r="U224" s="136">
        <f t="shared" si="57"/>
        <v>281.72435260000003</v>
      </c>
    </row>
    <row r="225" spans="1:21" ht="15" hidden="1" outlineLevel="2">
      <c r="A225" s="6" t="s">
        <v>506</v>
      </c>
      <c r="B225" s="7" t="s">
        <v>58</v>
      </c>
      <c r="C225" s="42" t="s">
        <v>2</v>
      </c>
      <c r="D225" s="8" t="s">
        <v>507</v>
      </c>
      <c r="E225" s="42" t="s">
        <v>508</v>
      </c>
      <c r="F225" s="39" t="s">
        <v>53</v>
      </c>
      <c r="G225" s="24" t="s">
        <v>65</v>
      </c>
      <c r="H225" s="136">
        <v>86.98766160000001</v>
      </c>
      <c r="I225" s="149">
        <v>183</v>
      </c>
      <c r="J225" s="136">
        <f t="shared" si="58"/>
        <v>10.98</v>
      </c>
      <c r="K225" s="136">
        <v>60</v>
      </c>
      <c r="L225" s="139"/>
      <c r="M225" s="139"/>
      <c r="N225" s="136"/>
      <c r="O225" s="11"/>
      <c r="P225" s="136"/>
      <c r="Q225" s="140"/>
      <c r="R225" s="136"/>
      <c r="S225" s="136"/>
      <c r="T225" s="136"/>
      <c r="U225" s="136">
        <f t="shared" si="57"/>
        <v>157.9676616</v>
      </c>
    </row>
    <row r="226" spans="1:21" ht="15" hidden="1" outlineLevel="2">
      <c r="A226" s="6" t="s">
        <v>506</v>
      </c>
      <c r="B226" s="7" t="s">
        <v>58</v>
      </c>
      <c r="C226" s="42" t="s">
        <v>2</v>
      </c>
      <c r="D226" s="8" t="s">
        <v>507</v>
      </c>
      <c r="E226" s="42" t="s">
        <v>508</v>
      </c>
      <c r="F226" s="39" t="s">
        <v>53</v>
      </c>
      <c r="G226" s="24" t="s">
        <v>66</v>
      </c>
      <c r="H226" s="136">
        <v>238.1695666</v>
      </c>
      <c r="I226" s="149">
        <v>270</v>
      </c>
      <c r="J226" s="136">
        <f t="shared" si="58"/>
        <v>16.2</v>
      </c>
      <c r="K226" s="136">
        <v>30</v>
      </c>
      <c r="L226" s="139"/>
      <c r="M226" s="139"/>
      <c r="N226" s="136"/>
      <c r="O226" s="11"/>
      <c r="P226" s="136"/>
      <c r="Q226" s="140"/>
      <c r="R226" s="136"/>
      <c r="S226" s="136"/>
      <c r="T226" s="136"/>
      <c r="U226" s="136">
        <f t="shared" si="57"/>
        <v>284.3695666</v>
      </c>
    </row>
    <row r="227" spans="1:21" ht="15" hidden="1" outlineLevel="2">
      <c r="A227" s="6" t="s">
        <v>506</v>
      </c>
      <c r="B227" s="7" t="s">
        <v>58</v>
      </c>
      <c r="C227" s="42" t="s">
        <v>2</v>
      </c>
      <c r="D227" s="8" t="s">
        <v>507</v>
      </c>
      <c r="E227" s="42" t="s">
        <v>508</v>
      </c>
      <c r="F227" s="39" t="s">
        <v>53</v>
      </c>
      <c r="G227" s="24" t="s">
        <v>489</v>
      </c>
      <c r="H227" s="136">
        <v>0.859852</v>
      </c>
      <c r="I227" s="149">
        <v>2</v>
      </c>
      <c r="J227" s="136">
        <f t="shared" si="58"/>
        <v>0.12</v>
      </c>
      <c r="K227" s="136">
        <v>0</v>
      </c>
      <c r="L227" s="139"/>
      <c r="M227" s="139"/>
      <c r="N227" s="136"/>
      <c r="O227" s="11"/>
      <c r="P227" s="136"/>
      <c r="Q227" s="140"/>
      <c r="R227" s="136"/>
      <c r="S227" s="136"/>
      <c r="T227" s="136"/>
      <c r="U227" s="136">
        <f t="shared" si="57"/>
        <v>0.979852</v>
      </c>
    </row>
    <row r="228" spans="1:21" ht="15" hidden="1" outlineLevel="2">
      <c r="A228" s="6" t="s">
        <v>506</v>
      </c>
      <c r="B228" s="7" t="s">
        <v>58</v>
      </c>
      <c r="C228" s="42" t="s">
        <v>2</v>
      </c>
      <c r="D228" s="8" t="s">
        <v>507</v>
      </c>
      <c r="E228" s="42" t="s">
        <v>508</v>
      </c>
      <c r="F228" s="39" t="s">
        <v>53</v>
      </c>
      <c r="G228" s="24" t="s">
        <v>90</v>
      </c>
      <c r="H228" s="136">
        <v>3.271632</v>
      </c>
      <c r="I228" s="149">
        <v>12</v>
      </c>
      <c r="J228" s="136">
        <f t="shared" si="58"/>
        <v>0.72</v>
      </c>
      <c r="K228" s="136">
        <v>0</v>
      </c>
      <c r="L228" s="139"/>
      <c r="M228" s="139"/>
      <c r="N228" s="136"/>
      <c r="O228" s="11"/>
      <c r="P228" s="136"/>
      <c r="Q228" s="140"/>
      <c r="R228" s="136"/>
      <c r="S228" s="136"/>
      <c r="T228" s="136"/>
      <c r="U228" s="136">
        <f t="shared" si="57"/>
        <v>3.991632</v>
      </c>
    </row>
    <row r="229" spans="1:21" s="22" customFormat="1" ht="15" hidden="1" outlineLevel="2">
      <c r="A229" s="6" t="str">
        <f>A228</f>
        <v>M786</v>
      </c>
      <c r="B229" s="11" t="str">
        <f>B228</f>
        <v>DCM</v>
      </c>
      <c r="C229" s="42" t="s">
        <v>2</v>
      </c>
      <c r="D229" s="13" t="str">
        <f aca="true" t="shared" si="59" ref="D229:E231">D228</f>
        <v>902000</v>
      </c>
      <c r="E229" s="24" t="str">
        <f t="shared" si="59"/>
        <v>72-50</v>
      </c>
      <c r="F229" s="39" t="s">
        <v>585</v>
      </c>
      <c r="G229" s="24" t="s">
        <v>585</v>
      </c>
      <c r="H229" s="136"/>
      <c r="I229" s="149"/>
      <c r="J229" s="136"/>
      <c r="K229" s="136"/>
      <c r="L229" s="139">
        <v>2</v>
      </c>
      <c r="M229" s="139">
        <v>1</v>
      </c>
      <c r="N229" s="136">
        <f>L229*M229*$N$2</f>
        <v>6270</v>
      </c>
      <c r="O229" s="11"/>
      <c r="P229" s="136"/>
      <c r="Q229" s="140"/>
      <c r="R229" s="136"/>
      <c r="S229" s="136"/>
      <c r="T229" s="136"/>
      <c r="U229" s="136">
        <f t="shared" si="57"/>
        <v>6270</v>
      </c>
    </row>
    <row r="230" spans="1:21" ht="15" hidden="1" outlineLevel="2">
      <c r="A230" s="28" t="s">
        <v>506</v>
      </c>
      <c r="B230" s="11" t="str">
        <f>B229</f>
        <v>DCM</v>
      </c>
      <c r="C230" s="11" t="str">
        <f>C229</f>
        <v>DCM-Facilities-Administration</v>
      </c>
      <c r="D230" s="13" t="str">
        <f t="shared" si="59"/>
        <v>902000</v>
      </c>
      <c r="E230" s="38" t="str">
        <f t="shared" si="59"/>
        <v>72-50</v>
      </c>
      <c r="F230" s="20" t="s">
        <v>615</v>
      </c>
      <c r="G230" s="11" t="s">
        <v>615</v>
      </c>
      <c r="H230" s="136"/>
      <c r="I230" s="140"/>
      <c r="J230" s="136"/>
      <c r="K230" s="136"/>
      <c r="L230" s="139"/>
      <c r="M230" s="139"/>
      <c r="N230" s="136"/>
      <c r="O230" s="29">
        <f>112.5+62.25</f>
        <v>174.75</v>
      </c>
      <c r="P230" s="136">
        <f>O230*$P$2</f>
        <v>12582</v>
      </c>
      <c r="Q230" s="140"/>
      <c r="R230" s="136"/>
      <c r="S230" s="136"/>
      <c r="T230" s="136"/>
      <c r="U230" s="136">
        <f t="shared" si="57"/>
        <v>12582</v>
      </c>
    </row>
    <row r="231" spans="1:21" ht="15" hidden="1" outlineLevel="2">
      <c r="A231" s="36" t="s">
        <v>506</v>
      </c>
      <c r="B231" s="11" t="str">
        <f>B230</f>
        <v>DCM</v>
      </c>
      <c r="C231" s="11" t="str">
        <f>C230</f>
        <v>DCM-Facilities-Administration</v>
      </c>
      <c r="D231" s="13" t="str">
        <f t="shared" si="59"/>
        <v>902000</v>
      </c>
      <c r="E231" s="27" t="str">
        <f t="shared" si="59"/>
        <v>72-50</v>
      </c>
      <c r="F231" s="20" t="s">
        <v>683</v>
      </c>
      <c r="G231" s="11" t="s">
        <v>683</v>
      </c>
      <c r="H231" s="136"/>
      <c r="I231" s="140"/>
      <c r="J231" s="136"/>
      <c r="K231" s="136"/>
      <c r="L231" s="139"/>
      <c r="M231" s="139"/>
      <c r="N231" s="136"/>
      <c r="O231" s="34"/>
      <c r="P231" s="136"/>
      <c r="Q231" s="140"/>
      <c r="R231" s="136"/>
      <c r="S231" s="136"/>
      <c r="T231" s="150">
        <f>5.92+30.19</f>
        <v>36.11</v>
      </c>
      <c r="U231" s="136">
        <f t="shared" si="57"/>
        <v>36.11</v>
      </c>
    </row>
    <row r="232" spans="1:21" s="5" customFormat="1" ht="15.75" outlineLevel="1" collapsed="1">
      <c r="A232" s="170" t="s">
        <v>860</v>
      </c>
      <c r="B232" s="45"/>
      <c r="C232" s="45"/>
      <c r="D232" s="61"/>
      <c r="E232" s="44"/>
      <c r="F232" s="51"/>
      <c r="G232" s="45"/>
      <c r="H232" s="137">
        <f aca="true" t="shared" si="60" ref="H232:U232">SUBTOTAL(9,H222:H231)</f>
        <v>1164.5594310000001</v>
      </c>
      <c r="I232" s="167">
        <f t="shared" si="60"/>
        <v>1936</v>
      </c>
      <c r="J232" s="137">
        <f t="shared" si="60"/>
        <v>163.64</v>
      </c>
      <c r="K232" s="137">
        <f t="shared" si="60"/>
        <v>180</v>
      </c>
      <c r="L232" s="141">
        <f t="shared" si="60"/>
        <v>2</v>
      </c>
      <c r="M232" s="141">
        <f t="shared" si="60"/>
        <v>1</v>
      </c>
      <c r="N232" s="137">
        <f t="shared" si="60"/>
        <v>6270</v>
      </c>
      <c r="O232" s="46">
        <f t="shared" si="60"/>
        <v>174.75</v>
      </c>
      <c r="P232" s="137">
        <f t="shared" si="60"/>
        <v>12582</v>
      </c>
      <c r="Q232" s="167">
        <f t="shared" si="60"/>
        <v>0</v>
      </c>
      <c r="R232" s="137">
        <f t="shared" si="60"/>
        <v>0</v>
      </c>
      <c r="S232" s="137">
        <f t="shared" si="60"/>
        <v>0</v>
      </c>
      <c r="T232" s="171">
        <f t="shared" si="60"/>
        <v>36.11</v>
      </c>
      <c r="U232" s="137">
        <f t="shared" si="60"/>
        <v>20396.309431</v>
      </c>
    </row>
    <row r="233" spans="1:21" ht="15" hidden="1" outlineLevel="2">
      <c r="A233" s="6" t="s">
        <v>509</v>
      </c>
      <c r="B233" s="7" t="s">
        <v>58</v>
      </c>
      <c r="C233" s="7" t="s">
        <v>510</v>
      </c>
      <c r="D233" s="8" t="s">
        <v>511</v>
      </c>
      <c r="E233" s="42" t="s">
        <v>508</v>
      </c>
      <c r="F233" s="39" t="s">
        <v>53</v>
      </c>
      <c r="G233" s="11" t="s">
        <v>63</v>
      </c>
      <c r="H233" s="136">
        <v>4.82356</v>
      </c>
      <c r="I233" s="140">
        <v>1</v>
      </c>
      <c r="J233" s="136">
        <f>I233*$J$2</f>
        <v>0.06</v>
      </c>
      <c r="K233" s="136">
        <v>15</v>
      </c>
      <c r="L233" s="139"/>
      <c r="M233" s="139"/>
      <c r="N233" s="136"/>
      <c r="O233" s="11"/>
      <c r="P233" s="136"/>
      <c r="Q233" s="140"/>
      <c r="R233" s="136"/>
      <c r="S233" s="136"/>
      <c r="T233" s="136"/>
      <c r="U233" s="136">
        <f>H233+J233+K233+N233+P233+R233+S233+T233</f>
        <v>19.88356</v>
      </c>
    </row>
    <row r="234" spans="1:21" s="5" customFormat="1" ht="15.75" outlineLevel="1" collapsed="1">
      <c r="A234" s="170" t="s">
        <v>861</v>
      </c>
      <c r="B234" s="45"/>
      <c r="C234" s="45"/>
      <c r="D234" s="61"/>
      <c r="E234" s="44"/>
      <c r="F234" s="51"/>
      <c r="G234" s="45"/>
      <c r="H234" s="137">
        <f aca="true" t="shared" si="61" ref="H234:U234">SUBTOTAL(9,H233:H233)</f>
        <v>4.82356</v>
      </c>
      <c r="I234" s="167">
        <f t="shared" si="61"/>
        <v>1</v>
      </c>
      <c r="J234" s="137">
        <f t="shared" si="61"/>
        <v>0.06</v>
      </c>
      <c r="K234" s="137">
        <f t="shared" si="61"/>
        <v>15</v>
      </c>
      <c r="L234" s="141">
        <f t="shared" si="61"/>
        <v>0</v>
      </c>
      <c r="M234" s="141">
        <f t="shared" si="61"/>
        <v>0</v>
      </c>
      <c r="N234" s="137">
        <f t="shared" si="61"/>
        <v>0</v>
      </c>
      <c r="O234" s="46">
        <f t="shared" si="61"/>
        <v>0</v>
      </c>
      <c r="P234" s="137">
        <f t="shared" si="61"/>
        <v>0</v>
      </c>
      <c r="Q234" s="167">
        <f t="shared" si="61"/>
        <v>0</v>
      </c>
      <c r="R234" s="137">
        <f t="shared" si="61"/>
        <v>0</v>
      </c>
      <c r="S234" s="137">
        <f t="shared" si="61"/>
        <v>0</v>
      </c>
      <c r="T234" s="171">
        <f t="shared" si="61"/>
        <v>0</v>
      </c>
      <c r="U234" s="137">
        <f t="shared" si="61"/>
        <v>19.88356</v>
      </c>
    </row>
    <row r="235" spans="1:21" ht="15" hidden="1" outlineLevel="2">
      <c r="A235" s="28" t="s">
        <v>614</v>
      </c>
      <c r="B235" s="11" t="str">
        <f>B233</f>
        <v>DCM</v>
      </c>
      <c r="C235" s="11" t="str">
        <f>C233</f>
        <v>FACILITIES MANAGEMENT</v>
      </c>
      <c r="D235" s="13" t="str">
        <f>D233</f>
        <v>B448 BASE</v>
      </c>
      <c r="E235" s="38" t="str">
        <f>E233</f>
        <v>72-50</v>
      </c>
      <c r="F235" s="20" t="s">
        <v>615</v>
      </c>
      <c r="G235" s="11" t="s">
        <v>615</v>
      </c>
      <c r="H235" s="136"/>
      <c r="I235" s="140"/>
      <c r="J235" s="136"/>
      <c r="K235" s="136"/>
      <c r="L235" s="139"/>
      <c r="M235" s="139"/>
      <c r="N235" s="136"/>
      <c r="O235" s="29">
        <f>2+12.75+0.5</f>
        <v>15.25</v>
      </c>
      <c r="P235" s="136">
        <f>O235*$P$2</f>
        <v>1098</v>
      </c>
      <c r="Q235" s="140"/>
      <c r="R235" s="136"/>
      <c r="S235" s="136"/>
      <c r="T235" s="136"/>
      <c r="U235" s="136">
        <f>H235+J235+K235+N235+P235+R235+S235+T235</f>
        <v>1098</v>
      </c>
    </row>
    <row r="236" spans="1:21" s="5" customFormat="1" ht="15.75" outlineLevel="1" collapsed="1">
      <c r="A236" s="170" t="s">
        <v>862</v>
      </c>
      <c r="B236" s="45"/>
      <c r="C236" s="45"/>
      <c r="D236" s="61"/>
      <c r="E236" s="44"/>
      <c r="F236" s="51"/>
      <c r="G236" s="45"/>
      <c r="H236" s="137">
        <f aca="true" t="shared" si="62" ref="H236:U236">SUBTOTAL(9,H235:H235)</f>
        <v>0</v>
      </c>
      <c r="I236" s="167">
        <f t="shared" si="62"/>
        <v>0</v>
      </c>
      <c r="J236" s="137">
        <f t="shared" si="62"/>
        <v>0</v>
      </c>
      <c r="K236" s="137">
        <f t="shared" si="62"/>
        <v>0</v>
      </c>
      <c r="L236" s="141">
        <f t="shared" si="62"/>
        <v>0</v>
      </c>
      <c r="M236" s="141">
        <f t="shared" si="62"/>
        <v>0</v>
      </c>
      <c r="N236" s="137">
        <f t="shared" si="62"/>
        <v>0</v>
      </c>
      <c r="O236" s="46">
        <f t="shared" si="62"/>
        <v>15.25</v>
      </c>
      <c r="P236" s="137">
        <f t="shared" si="62"/>
        <v>1098</v>
      </c>
      <c r="Q236" s="167">
        <f t="shared" si="62"/>
        <v>0</v>
      </c>
      <c r="R236" s="137">
        <f t="shared" si="62"/>
        <v>0</v>
      </c>
      <c r="S236" s="137">
        <f t="shared" si="62"/>
        <v>0</v>
      </c>
      <c r="T236" s="171">
        <f t="shared" si="62"/>
        <v>0</v>
      </c>
      <c r="U236" s="137">
        <f t="shared" si="62"/>
        <v>1098</v>
      </c>
    </row>
    <row r="237" spans="1:21" ht="15" hidden="1" outlineLevel="2">
      <c r="A237" s="36" t="s">
        <v>677</v>
      </c>
      <c r="B237" s="11" t="str">
        <f>B235</f>
        <v>DCM</v>
      </c>
      <c r="C237" s="11" t="str">
        <f>C235</f>
        <v>FACILITIES MANAGEMENT</v>
      </c>
      <c r="D237" s="13" t="str">
        <f>D235</f>
        <v>B448 BASE</v>
      </c>
      <c r="E237" s="27" t="str">
        <f>E235</f>
        <v>72-50</v>
      </c>
      <c r="F237" s="20" t="s">
        <v>683</v>
      </c>
      <c r="G237" s="11" t="s">
        <v>683</v>
      </c>
      <c r="H237" s="136"/>
      <c r="I237" s="140"/>
      <c r="J237" s="136"/>
      <c r="K237" s="136"/>
      <c r="L237" s="139"/>
      <c r="M237" s="139"/>
      <c r="N237" s="136"/>
      <c r="O237" s="34"/>
      <c r="P237" s="136"/>
      <c r="Q237" s="140"/>
      <c r="R237" s="136"/>
      <c r="S237" s="136"/>
      <c r="T237" s="150">
        <v>4.78</v>
      </c>
      <c r="U237" s="136">
        <f>H237+J237+K237+N237+P237+R237+S237+T237</f>
        <v>4.78</v>
      </c>
    </row>
    <row r="238" spans="1:21" s="5" customFormat="1" ht="15.75" outlineLevel="1" collapsed="1">
      <c r="A238" s="170" t="s">
        <v>863</v>
      </c>
      <c r="B238" s="45"/>
      <c r="C238" s="45"/>
      <c r="D238" s="61"/>
      <c r="E238" s="44"/>
      <c r="F238" s="51"/>
      <c r="G238" s="45"/>
      <c r="H238" s="137">
        <f aca="true" t="shared" si="63" ref="H238:U238">SUBTOTAL(9,H237:H237)</f>
        <v>0</v>
      </c>
      <c r="I238" s="167">
        <f t="shared" si="63"/>
        <v>0</v>
      </c>
      <c r="J238" s="137">
        <f t="shared" si="63"/>
        <v>0</v>
      </c>
      <c r="K238" s="137">
        <f t="shared" si="63"/>
        <v>0</v>
      </c>
      <c r="L238" s="141">
        <f t="shared" si="63"/>
        <v>0</v>
      </c>
      <c r="M238" s="141">
        <f t="shared" si="63"/>
        <v>0</v>
      </c>
      <c r="N238" s="137">
        <f t="shared" si="63"/>
        <v>0</v>
      </c>
      <c r="O238" s="46">
        <f t="shared" si="63"/>
        <v>0</v>
      </c>
      <c r="P238" s="137">
        <f t="shared" si="63"/>
        <v>0</v>
      </c>
      <c r="Q238" s="167">
        <f t="shared" si="63"/>
        <v>0</v>
      </c>
      <c r="R238" s="137">
        <f t="shared" si="63"/>
        <v>0</v>
      </c>
      <c r="S238" s="137">
        <f t="shared" si="63"/>
        <v>0</v>
      </c>
      <c r="T238" s="171">
        <f t="shared" si="63"/>
        <v>4.78</v>
      </c>
      <c r="U238" s="137">
        <f t="shared" si="63"/>
        <v>4.78</v>
      </c>
    </row>
    <row r="239" spans="1:21" ht="15" hidden="1" outlineLevel="2">
      <c r="A239" s="6" t="s">
        <v>512</v>
      </c>
      <c r="B239" s="7" t="s">
        <v>58</v>
      </c>
      <c r="C239" s="7" t="s">
        <v>59</v>
      </c>
      <c r="D239" s="8" t="s">
        <v>513</v>
      </c>
      <c r="E239" s="42" t="s">
        <v>61</v>
      </c>
      <c r="F239" s="39" t="s">
        <v>53</v>
      </c>
      <c r="G239" s="24" t="s">
        <v>62</v>
      </c>
      <c r="H239" s="136">
        <v>11.8156248</v>
      </c>
      <c r="I239" s="149">
        <v>36</v>
      </c>
      <c r="J239" s="136">
        <f>I239*$J$1</f>
        <v>3.6</v>
      </c>
      <c r="K239" s="136">
        <v>45</v>
      </c>
      <c r="L239" s="139"/>
      <c r="M239" s="139"/>
      <c r="N239" s="136"/>
      <c r="O239" s="11"/>
      <c r="P239" s="136"/>
      <c r="Q239" s="140"/>
      <c r="R239" s="136"/>
      <c r="S239" s="136"/>
      <c r="T239" s="136"/>
      <c r="U239" s="136">
        <f aca="true" t="shared" si="64" ref="U239:U248">H239+J239+K239+N239+P239+R239+S239+T239</f>
        <v>60.4156248</v>
      </c>
    </row>
    <row r="240" spans="1:21" ht="15" hidden="1" outlineLevel="2">
      <c r="A240" s="6" t="s">
        <v>512</v>
      </c>
      <c r="B240" s="7" t="s">
        <v>58</v>
      </c>
      <c r="C240" s="7" t="s">
        <v>59</v>
      </c>
      <c r="D240" s="8" t="s">
        <v>513</v>
      </c>
      <c r="E240" s="42" t="s">
        <v>61</v>
      </c>
      <c r="F240" s="39" t="s">
        <v>53</v>
      </c>
      <c r="G240" s="24" t="s">
        <v>63</v>
      </c>
      <c r="H240" s="136">
        <v>43.809459399999994</v>
      </c>
      <c r="I240" s="149">
        <v>12</v>
      </c>
      <c r="J240" s="136">
        <f aca="true" t="shared" si="65" ref="J240:J245">I240*$J$2</f>
        <v>0.72</v>
      </c>
      <c r="K240" s="136">
        <v>0</v>
      </c>
      <c r="L240" s="139"/>
      <c r="M240" s="139"/>
      <c r="N240" s="136"/>
      <c r="O240" s="11"/>
      <c r="P240" s="136"/>
      <c r="Q240" s="140"/>
      <c r="R240" s="136"/>
      <c r="S240" s="136"/>
      <c r="T240" s="136"/>
      <c r="U240" s="136">
        <f t="shared" si="64"/>
        <v>44.52945939999999</v>
      </c>
    </row>
    <row r="241" spans="1:21" ht="15" hidden="1" outlineLevel="2">
      <c r="A241" s="6" t="s">
        <v>512</v>
      </c>
      <c r="B241" s="7" t="s">
        <v>58</v>
      </c>
      <c r="C241" s="7" t="s">
        <v>59</v>
      </c>
      <c r="D241" s="8" t="s">
        <v>513</v>
      </c>
      <c r="E241" s="42" t="s">
        <v>61</v>
      </c>
      <c r="F241" s="39" t="s">
        <v>53</v>
      </c>
      <c r="G241" s="24" t="s">
        <v>246</v>
      </c>
      <c r="H241" s="136">
        <v>1.583386</v>
      </c>
      <c r="I241" s="149">
        <v>1</v>
      </c>
      <c r="J241" s="136">
        <f t="shared" si="65"/>
        <v>0.06</v>
      </c>
      <c r="K241" s="136">
        <v>15</v>
      </c>
      <c r="L241" s="139"/>
      <c r="M241" s="139"/>
      <c r="N241" s="136"/>
      <c r="O241" s="11"/>
      <c r="P241" s="136"/>
      <c r="Q241" s="140"/>
      <c r="R241" s="136"/>
      <c r="S241" s="136"/>
      <c r="T241" s="136"/>
      <c r="U241" s="136">
        <f t="shared" si="64"/>
        <v>16.643386</v>
      </c>
    </row>
    <row r="242" spans="1:21" ht="15" hidden="1" outlineLevel="2">
      <c r="A242" s="6" t="s">
        <v>512</v>
      </c>
      <c r="B242" s="7" t="s">
        <v>58</v>
      </c>
      <c r="C242" s="7" t="s">
        <v>59</v>
      </c>
      <c r="D242" s="8" t="s">
        <v>513</v>
      </c>
      <c r="E242" s="42" t="s">
        <v>61</v>
      </c>
      <c r="F242" s="39" t="s">
        <v>53</v>
      </c>
      <c r="G242" s="24" t="s">
        <v>64</v>
      </c>
      <c r="H242" s="136">
        <v>40.797880199999994</v>
      </c>
      <c r="I242" s="149">
        <v>31</v>
      </c>
      <c r="J242" s="136">
        <f t="shared" si="65"/>
        <v>1.8599999999999999</v>
      </c>
      <c r="K242" s="136">
        <v>30</v>
      </c>
      <c r="L242" s="139"/>
      <c r="M242" s="139"/>
      <c r="N242" s="136"/>
      <c r="O242" s="11"/>
      <c r="P242" s="136"/>
      <c r="Q242" s="140"/>
      <c r="R242" s="136"/>
      <c r="S242" s="136"/>
      <c r="T242" s="136"/>
      <c r="U242" s="136">
        <f t="shared" si="64"/>
        <v>72.6578802</v>
      </c>
    </row>
    <row r="243" spans="1:21" ht="15" hidden="1" outlineLevel="2">
      <c r="A243" s="6" t="s">
        <v>512</v>
      </c>
      <c r="B243" s="7" t="s">
        <v>58</v>
      </c>
      <c r="C243" s="7" t="s">
        <v>59</v>
      </c>
      <c r="D243" s="8" t="s">
        <v>513</v>
      </c>
      <c r="E243" s="42" t="s">
        <v>61</v>
      </c>
      <c r="F243" s="39" t="s">
        <v>53</v>
      </c>
      <c r="G243" s="24" t="s">
        <v>65</v>
      </c>
      <c r="H243" s="136">
        <v>5.599524</v>
      </c>
      <c r="I243" s="149">
        <v>12</v>
      </c>
      <c r="J243" s="136">
        <f t="shared" si="65"/>
        <v>0.72</v>
      </c>
      <c r="K243" s="136">
        <v>30</v>
      </c>
      <c r="L243" s="139"/>
      <c r="M243" s="139"/>
      <c r="N243" s="136"/>
      <c r="O243" s="11"/>
      <c r="P243" s="136"/>
      <c r="Q243" s="140"/>
      <c r="R243" s="136"/>
      <c r="S243" s="136"/>
      <c r="T243" s="136"/>
      <c r="U243" s="136">
        <f t="shared" si="64"/>
        <v>36.319524</v>
      </c>
    </row>
    <row r="244" spans="1:21" ht="15" hidden="1" outlineLevel="2">
      <c r="A244" s="6" t="s">
        <v>512</v>
      </c>
      <c r="B244" s="7" t="s">
        <v>58</v>
      </c>
      <c r="C244" s="7" t="s">
        <v>59</v>
      </c>
      <c r="D244" s="8" t="s">
        <v>513</v>
      </c>
      <c r="E244" s="42" t="s">
        <v>61</v>
      </c>
      <c r="F244" s="39" t="s">
        <v>53</v>
      </c>
      <c r="G244" s="24" t="s">
        <v>66</v>
      </c>
      <c r="H244" s="136">
        <v>14.1561</v>
      </c>
      <c r="I244" s="149">
        <v>15</v>
      </c>
      <c r="J244" s="136">
        <f t="shared" si="65"/>
        <v>0.8999999999999999</v>
      </c>
      <c r="K244" s="136">
        <v>45</v>
      </c>
      <c r="L244" s="139"/>
      <c r="M244" s="139"/>
      <c r="N244" s="136"/>
      <c r="O244" s="11"/>
      <c r="P244" s="136"/>
      <c r="Q244" s="140"/>
      <c r="R244" s="136"/>
      <c r="S244" s="136"/>
      <c r="T244" s="136"/>
      <c r="U244" s="136">
        <f t="shared" si="64"/>
        <v>60.0561</v>
      </c>
    </row>
    <row r="245" spans="1:21" ht="15" hidden="1" outlineLevel="2">
      <c r="A245" s="6" t="s">
        <v>512</v>
      </c>
      <c r="B245" s="7" t="s">
        <v>58</v>
      </c>
      <c r="C245" s="7" t="s">
        <v>59</v>
      </c>
      <c r="D245" s="8" t="s">
        <v>513</v>
      </c>
      <c r="E245" s="42" t="s">
        <v>61</v>
      </c>
      <c r="F245" s="39" t="s">
        <v>53</v>
      </c>
      <c r="G245" s="24" t="s">
        <v>167</v>
      </c>
      <c r="H245" s="136">
        <v>0.7235339999999999</v>
      </c>
      <c r="I245" s="149">
        <v>1</v>
      </c>
      <c r="J245" s="136">
        <f t="shared" si="65"/>
        <v>0.06</v>
      </c>
      <c r="K245" s="136">
        <v>15</v>
      </c>
      <c r="L245" s="139"/>
      <c r="M245" s="139"/>
      <c r="N245" s="136"/>
      <c r="O245" s="11"/>
      <c r="P245" s="136"/>
      <c r="Q245" s="140"/>
      <c r="R245" s="136"/>
      <c r="S245" s="136"/>
      <c r="T245" s="136"/>
      <c r="U245" s="136">
        <f t="shared" si="64"/>
        <v>15.783534</v>
      </c>
    </row>
    <row r="246" spans="1:21" ht="15" hidden="1" outlineLevel="2">
      <c r="A246" s="6" t="str">
        <f>A245</f>
        <v>M793</v>
      </c>
      <c r="B246" s="11" t="str">
        <f>B245</f>
        <v>DCM</v>
      </c>
      <c r="C246" s="11" t="str">
        <f>C245</f>
        <v>INFORMATION TECHNOLOGY</v>
      </c>
      <c r="D246" s="13" t="str">
        <f>D245</f>
        <v>709000</v>
      </c>
      <c r="E246" s="24" t="str">
        <f>E245</f>
        <v>72-60</v>
      </c>
      <c r="F246" s="39" t="s">
        <v>585</v>
      </c>
      <c r="G246" s="24" t="s">
        <v>585</v>
      </c>
      <c r="H246" s="136"/>
      <c r="I246" s="149"/>
      <c r="J246" s="136"/>
      <c r="K246" s="136"/>
      <c r="L246" s="139">
        <v>2</v>
      </c>
      <c r="M246" s="139">
        <v>1</v>
      </c>
      <c r="N246" s="136">
        <f>L246*M246*$N$2</f>
        <v>6270</v>
      </c>
      <c r="O246" s="11"/>
      <c r="P246" s="136"/>
      <c r="Q246" s="140"/>
      <c r="R246" s="136"/>
      <c r="S246" s="136"/>
      <c r="T246" s="136"/>
      <c r="U246" s="136">
        <f t="shared" si="64"/>
        <v>6270</v>
      </c>
    </row>
    <row r="247" spans="1:21" ht="15" hidden="1" outlineLevel="2">
      <c r="A247" s="6" t="str">
        <f>A245</f>
        <v>M793</v>
      </c>
      <c r="B247" s="11" t="str">
        <f>B245</f>
        <v>DCM</v>
      </c>
      <c r="C247" s="11" t="str">
        <f>C245</f>
        <v>INFORMATION TECHNOLOGY</v>
      </c>
      <c r="D247" s="13" t="str">
        <f>D245</f>
        <v>709000</v>
      </c>
      <c r="E247" s="24" t="str">
        <f>E245</f>
        <v>72-60</v>
      </c>
      <c r="F247" s="39" t="s">
        <v>615</v>
      </c>
      <c r="G247" s="24" t="s">
        <v>615</v>
      </c>
      <c r="H247" s="136"/>
      <c r="I247" s="149"/>
      <c r="J247" s="136"/>
      <c r="K247" s="136"/>
      <c r="L247" s="139"/>
      <c r="M247" s="139"/>
      <c r="N247" s="136"/>
      <c r="O247" s="34">
        <v>0.5</v>
      </c>
      <c r="P247" s="136">
        <f>O247*$P$2</f>
        <v>36</v>
      </c>
      <c r="Q247" s="140"/>
      <c r="R247" s="136"/>
      <c r="S247" s="136"/>
      <c r="T247" s="136"/>
      <c r="U247" s="136">
        <f t="shared" si="64"/>
        <v>36</v>
      </c>
    </row>
    <row r="248" spans="1:21" ht="15" hidden="1" outlineLevel="2">
      <c r="A248" s="36" t="s">
        <v>678</v>
      </c>
      <c r="B248" s="11" t="str">
        <f>B247</f>
        <v>DCM</v>
      </c>
      <c r="C248" s="11" t="str">
        <f>C247</f>
        <v>INFORMATION TECHNOLOGY</v>
      </c>
      <c r="D248" s="13" t="str">
        <f>D247</f>
        <v>709000</v>
      </c>
      <c r="E248" s="27" t="str">
        <f>E247</f>
        <v>72-60</v>
      </c>
      <c r="F248" s="20" t="s">
        <v>683</v>
      </c>
      <c r="G248" s="11" t="s">
        <v>683</v>
      </c>
      <c r="H248" s="136"/>
      <c r="I248" s="140"/>
      <c r="J248" s="136"/>
      <c r="K248" s="136"/>
      <c r="L248" s="139"/>
      <c r="M248" s="139"/>
      <c r="N248" s="136"/>
      <c r="O248" s="34"/>
      <c r="P248" s="136"/>
      <c r="Q248" s="140"/>
      <c r="R248" s="136"/>
      <c r="S248" s="136"/>
      <c r="T248" s="150">
        <f>31.57+6.46</f>
        <v>38.03</v>
      </c>
      <c r="U248" s="136">
        <f t="shared" si="64"/>
        <v>38.03</v>
      </c>
    </row>
    <row r="249" spans="1:21" s="5" customFormat="1" ht="15.75" outlineLevel="1" collapsed="1">
      <c r="A249" s="170" t="s">
        <v>864</v>
      </c>
      <c r="B249" s="45"/>
      <c r="C249" s="45"/>
      <c r="D249" s="61"/>
      <c r="E249" s="44"/>
      <c r="F249" s="51"/>
      <c r="G249" s="45"/>
      <c r="H249" s="137">
        <f aca="true" t="shared" si="66" ref="H249:U249">SUBTOTAL(9,H239:H248)</f>
        <v>118.48550839999999</v>
      </c>
      <c r="I249" s="167">
        <f t="shared" si="66"/>
        <v>108</v>
      </c>
      <c r="J249" s="137">
        <f t="shared" si="66"/>
        <v>7.919999999999999</v>
      </c>
      <c r="K249" s="137">
        <f t="shared" si="66"/>
        <v>180</v>
      </c>
      <c r="L249" s="141">
        <f t="shared" si="66"/>
        <v>2</v>
      </c>
      <c r="M249" s="141">
        <f t="shared" si="66"/>
        <v>1</v>
      </c>
      <c r="N249" s="137">
        <f t="shared" si="66"/>
        <v>6270</v>
      </c>
      <c r="O249" s="46">
        <f t="shared" si="66"/>
        <v>0.5</v>
      </c>
      <c r="P249" s="137">
        <f t="shared" si="66"/>
        <v>36</v>
      </c>
      <c r="Q249" s="167">
        <f t="shared" si="66"/>
        <v>0</v>
      </c>
      <c r="R249" s="137">
        <f t="shared" si="66"/>
        <v>0</v>
      </c>
      <c r="S249" s="137">
        <f t="shared" si="66"/>
        <v>0</v>
      </c>
      <c r="T249" s="171">
        <f t="shared" si="66"/>
        <v>38.03</v>
      </c>
      <c r="U249" s="137">
        <f t="shared" si="66"/>
        <v>6650.4355084</v>
      </c>
    </row>
    <row r="250" spans="1:21" ht="15" hidden="1" outlineLevel="2">
      <c r="A250" s="6" t="s">
        <v>550</v>
      </c>
      <c r="B250" s="7" t="s">
        <v>58</v>
      </c>
      <c r="C250" s="7" t="s">
        <v>551</v>
      </c>
      <c r="D250" s="8" t="s">
        <v>552</v>
      </c>
      <c r="E250" s="42" t="s">
        <v>553</v>
      </c>
      <c r="F250" s="39" t="s">
        <v>53</v>
      </c>
      <c r="G250" s="24" t="s">
        <v>62</v>
      </c>
      <c r="H250" s="136">
        <v>2.013312</v>
      </c>
      <c r="I250" s="149">
        <v>6</v>
      </c>
      <c r="J250" s="136">
        <f>I250*$J$1</f>
        <v>0.6000000000000001</v>
      </c>
      <c r="K250" s="136">
        <v>30</v>
      </c>
      <c r="L250" s="139"/>
      <c r="M250" s="139"/>
      <c r="N250" s="136"/>
      <c r="O250" s="11"/>
      <c r="P250" s="136"/>
      <c r="Q250" s="140"/>
      <c r="R250" s="136"/>
      <c r="S250" s="136"/>
      <c r="T250" s="136"/>
      <c r="U250" s="136">
        <f>H250+J250+K250+N250+P250+R250+S250+T250</f>
        <v>32.613312</v>
      </c>
    </row>
    <row r="251" spans="1:21" ht="15" hidden="1" outlineLevel="2">
      <c r="A251" s="6" t="s">
        <v>550</v>
      </c>
      <c r="B251" s="7" t="s">
        <v>58</v>
      </c>
      <c r="C251" s="7" t="s">
        <v>551</v>
      </c>
      <c r="D251" s="8" t="s">
        <v>552</v>
      </c>
      <c r="E251" s="42" t="s">
        <v>553</v>
      </c>
      <c r="F251" s="39" t="s">
        <v>53</v>
      </c>
      <c r="G251" s="11" t="s">
        <v>63</v>
      </c>
      <c r="H251" s="136">
        <v>8.54609</v>
      </c>
      <c r="I251" s="140">
        <v>1</v>
      </c>
      <c r="J251" s="136">
        <f>I251*$J$2</f>
        <v>0.06</v>
      </c>
      <c r="K251" s="136">
        <v>15</v>
      </c>
      <c r="L251" s="139"/>
      <c r="M251" s="139"/>
      <c r="N251" s="136"/>
      <c r="O251" s="11"/>
      <c r="P251" s="136"/>
      <c r="Q251" s="140"/>
      <c r="R251" s="136"/>
      <c r="S251" s="136"/>
      <c r="T251" s="136"/>
      <c r="U251" s="136">
        <f>H251+J251+K251+N251+P251+R251+S251+T251</f>
        <v>23.606090000000002</v>
      </c>
    </row>
    <row r="252" spans="1:21" ht="15" hidden="1" outlineLevel="2">
      <c r="A252" s="6" t="s">
        <v>550</v>
      </c>
      <c r="B252" s="7" t="s">
        <v>58</v>
      </c>
      <c r="C252" s="7" t="s">
        <v>551</v>
      </c>
      <c r="D252" s="8" t="s">
        <v>552</v>
      </c>
      <c r="E252" s="42" t="s">
        <v>553</v>
      </c>
      <c r="F252" s="39" t="s">
        <v>53</v>
      </c>
      <c r="G252" s="24" t="s">
        <v>64</v>
      </c>
      <c r="H252" s="136">
        <v>3.40795</v>
      </c>
      <c r="I252" s="149">
        <v>3</v>
      </c>
      <c r="J252" s="136">
        <f>I252*$J$2</f>
        <v>0.18</v>
      </c>
      <c r="K252" s="136">
        <v>30</v>
      </c>
      <c r="L252" s="139"/>
      <c r="M252" s="139"/>
      <c r="N252" s="136"/>
      <c r="O252" s="11"/>
      <c r="P252" s="136"/>
      <c r="Q252" s="140"/>
      <c r="R252" s="136"/>
      <c r="S252" s="136"/>
      <c r="T252" s="136"/>
      <c r="U252" s="136">
        <f>H252+J252+K252+N252+P252+R252+S252+T252</f>
        <v>33.58795</v>
      </c>
    </row>
    <row r="253" spans="1:21" s="5" customFormat="1" ht="15.75" outlineLevel="1" collapsed="1">
      <c r="A253" s="170" t="s">
        <v>865</v>
      </c>
      <c r="B253" s="45"/>
      <c r="C253" s="45"/>
      <c r="D253" s="61"/>
      <c r="E253" s="44"/>
      <c r="F253" s="51"/>
      <c r="G253" s="45"/>
      <c r="H253" s="137">
        <f aca="true" t="shared" si="67" ref="H253:U253">SUBTOTAL(9,H250:H252)</f>
        <v>13.967351999999998</v>
      </c>
      <c r="I253" s="167">
        <f t="shared" si="67"/>
        <v>10</v>
      </c>
      <c r="J253" s="137">
        <f t="shared" si="67"/>
        <v>0.8400000000000001</v>
      </c>
      <c r="K253" s="137">
        <f t="shared" si="67"/>
        <v>75</v>
      </c>
      <c r="L253" s="141">
        <f t="shared" si="67"/>
        <v>0</v>
      </c>
      <c r="M253" s="141">
        <f t="shared" si="67"/>
        <v>0</v>
      </c>
      <c r="N253" s="137">
        <f t="shared" si="67"/>
        <v>0</v>
      </c>
      <c r="O253" s="46">
        <f t="shared" si="67"/>
        <v>0</v>
      </c>
      <c r="P253" s="137">
        <f t="shared" si="67"/>
        <v>0</v>
      </c>
      <c r="Q253" s="167">
        <f t="shared" si="67"/>
        <v>0</v>
      </c>
      <c r="R253" s="137">
        <f t="shared" si="67"/>
        <v>0</v>
      </c>
      <c r="S253" s="137">
        <f t="shared" si="67"/>
        <v>0</v>
      </c>
      <c r="T253" s="171">
        <f t="shared" si="67"/>
        <v>0</v>
      </c>
      <c r="U253" s="137">
        <f t="shared" si="67"/>
        <v>89.80735200000001</v>
      </c>
    </row>
    <row r="254" spans="1:21" ht="15" hidden="1" outlineLevel="2">
      <c r="A254" s="30" t="s">
        <v>616</v>
      </c>
      <c r="B254" s="7" t="s">
        <v>58</v>
      </c>
      <c r="C254" s="11" t="s">
        <v>618</v>
      </c>
      <c r="D254" s="13">
        <v>700004</v>
      </c>
      <c r="E254" s="27" t="s">
        <v>457</v>
      </c>
      <c r="F254" s="20" t="s">
        <v>615</v>
      </c>
      <c r="G254" s="11" t="s">
        <v>615</v>
      </c>
      <c r="H254" s="136"/>
      <c r="I254" s="140"/>
      <c r="J254" s="136"/>
      <c r="K254" s="136"/>
      <c r="L254" s="139"/>
      <c r="M254" s="139"/>
      <c r="N254" s="136"/>
      <c r="O254" s="34">
        <v>0.5</v>
      </c>
      <c r="P254" s="136">
        <f>O254*$P$2</f>
        <v>36</v>
      </c>
      <c r="Q254" s="140"/>
      <c r="R254" s="136"/>
      <c r="S254" s="136"/>
      <c r="T254" s="136"/>
      <c r="U254" s="136">
        <f>H254+J254+K254+N254+P254+R254+S254+T254</f>
        <v>36</v>
      </c>
    </row>
    <row r="255" spans="1:21" ht="15" hidden="1" outlineLevel="2">
      <c r="A255" s="30" t="s">
        <v>616</v>
      </c>
      <c r="B255" s="7" t="s">
        <v>58</v>
      </c>
      <c r="C255" s="42" t="s">
        <v>622</v>
      </c>
      <c r="D255" s="13">
        <v>704300</v>
      </c>
      <c r="E255" s="27" t="s">
        <v>457</v>
      </c>
      <c r="F255" s="20" t="s">
        <v>615</v>
      </c>
      <c r="G255" s="11" t="s">
        <v>615</v>
      </c>
      <c r="H255" s="136"/>
      <c r="I255" s="140"/>
      <c r="J255" s="136"/>
      <c r="K255" s="136"/>
      <c r="L255" s="139"/>
      <c r="M255" s="139"/>
      <c r="N255" s="136"/>
      <c r="O255" s="34">
        <v>0.75</v>
      </c>
      <c r="P255" s="136">
        <f>O255*$P$2</f>
        <v>54</v>
      </c>
      <c r="Q255" s="140"/>
      <c r="R255" s="136"/>
      <c r="S255" s="136"/>
      <c r="T255" s="136"/>
      <c r="U255" s="136">
        <f>H255+J255+K255+N255+P255+R255+S255+T255</f>
        <v>54</v>
      </c>
    </row>
    <row r="256" spans="1:21" ht="15" hidden="1" outlineLevel="2">
      <c r="A256" s="30" t="s">
        <v>616</v>
      </c>
      <c r="B256" s="7" t="s">
        <v>58</v>
      </c>
      <c r="C256" s="42" t="s">
        <v>623</v>
      </c>
      <c r="D256" s="13">
        <v>709125</v>
      </c>
      <c r="E256" s="27" t="s">
        <v>61</v>
      </c>
      <c r="F256" s="20" t="s">
        <v>615</v>
      </c>
      <c r="G256" s="11" t="s">
        <v>615</v>
      </c>
      <c r="H256" s="136"/>
      <c r="I256" s="140"/>
      <c r="J256" s="136"/>
      <c r="K256" s="136"/>
      <c r="L256" s="139"/>
      <c r="M256" s="139"/>
      <c r="N256" s="136"/>
      <c r="O256" s="34">
        <v>0.25</v>
      </c>
      <c r="P256" s="136">
        <f>O256*$P$2</f>
        <v>18</v>
      </c>
      <c r="Q256" s="140"/>
      <c r="R256" s="136"/>
      <c r="S256" s="136"/>
      <c r="T256" s="136"/>
      <c r="U256" s="136">
        <f>H256+J256+K256+N256+P256+R256+S256+T256</f>
        <v>18</v>
      </c>
    </row>
    <row r="257" spans="1:21" ht="15" hidden="1" outlineLevel="2">
      <c r="A257" s="30" t="s">
        <v>616</v>
      </c>
      <c r="B257" s="7" t="s">
        <v>58</v>
      </c>
      <c r="C257" s="42" t="s">
        <v>624</v>
      </c>
      <c r="D257" s="13">
        <v>709299</v>
      </c>
      <c r="E257" s="27" t="s">
        <v>61</v>
      </c>
      <c r="F257" s="20" t="s">
        <v>615</v>
      </c>
      <c r="G257" s="11" t="s">
        <v>615</v>
      </c>
      <c r="H257" s="136"/>
      <c r="I257" s="140"/>
      <c r="J257" s="136"/>
      <c r="K257" s="136"/>
      <c r="L257" s="139"/>
      <c r="M257" s="139"/>
      <c r="N257" s="136"/>
      <c r="O257" s="35">
        <v>2.75</v>
      </c>
      <c r="P257" s="136">
        <f>O257*$P$2</f>
        <v>198</v>
      </c>
      <c r="Q257" s="140"/>
      <c r="R257" s="136"/>
      <c r="S257" s="136"/>
      <c r="T257" s="136"/>
      <c r="U257" s="136">
        <f>H257+J257+K257+N257+P257+R257+S257+T257</f>
        <v>198</v>
      </c>
    </row>
    <row r="258" spans="1:21" s="5" customFormat="1" ht="15.75" outlineLevel="1" collapsed="1">
      <c r="A258" s="170" t="s">
        <v>766</v>
      </c>
      <c r="B258" s="45"/>
      <c r="C258" s="45"/>
      <c r="D258" s="61"/>
      <c r="E258" s="44"/>
      <c r="F258" s="51"/>
      <c r="G258" s="45"/>
      <c r="H258" s="137">
        <f aca="true" t="shared" si="68" ref="H258:U258">SUBTOTAL(9,H254:H257)</f>
        <v>0</v>
      </c>
      <c r="I258" s="167">
        <f t="shared" si="68"/>
        <v>0</v>
      </c>
      <c r="J258" s="137">
        <f t="shared" si="68"/>
        <v>0</v>
      </c>
      <c r="K258" s="137">
        <f t="shared" si="68"/>
        <v>0</v>
      </c>
      <c r="L258" s="141">
        <f t="shared" si="68"/>
        <v>0</v>
      </c>
      <c r="M258" s="141">
        <f t="shared" si="68"/>
        <v>0</v>
      </c>
      <c r="N258" s="137">
        <f t="shared" si="68"/>
        <v>0</v>
      </c>
      <c r="O258" s="46">
        <f t="shared" si="68"/>
        <v>4.25</v>
      </c>
      <c r="P258" s="137">
        <f t="shared" si="68"/>
        <v>306</v>
      </c>
      <c r="Q258" s="167">
        <f t="shared" si="68"/>
        <v>0</v>
      </c>
      <c r="R258" s="137">
        <f t="shared" si="68"/>
        <v>0</v>
      </c>
      <c r="S258" s="137">
        <f t="shared" si="68"/>
        <v>0</v>
      </c>
      <c r="T258" s="171">
        <f t="shared" si="68"/>
        <v>0</v>
      </c>
      <c r="U258" s="137">
        <f t="shared" si="68"/>
        <v>306</v>
      </c>
    </row>
    <row r="259" spans="1:21" s="5" customFormat="1" ht="15.75" outlineLevel="1" collapsed="1">
      <c r="A259" s="170" t="s">
        <v>633</v>
      </c>
      <c r="B259" s="45"/>
      <c r="C259" s="45"/>
      <c r="D259" s="61"/>
      <c r="E259" s="44"/>
      <c r="F259" s="51"/>
      <c r="G259" s="45"/>
      <c r="H259" s="137">
        <f aca="true" t="shared" si="69" ref="H259:U259">SUBTOTAL(9,H4:H257)</f>
        <v>194261.9980867998</v>
      </c>
      <c r="I259" s="167">
        <f t="shared" si="69"/>
        <v>279792</v>
      </c>
      <c r="J259" s="137">
        <f t="shared" si="69"/>
        <v>24772.60000000001</v>
      </c>
      <c r="K259" s="137">
        <f t="shared" si="69"/>
        <v>4335</v>
      </c>
      <c r="L259" s="141">
        <f t="shared" si="69"/>
        <v>53.5</v>
      </c>
      <c r="M259" s="141">
        <f t="shared" si="69"/>
        <v>8.818699999999998</v>
      </c>
      <c r="N259" s="137">
        <f t="shared" si="69"/>
        <v>69338.049</v>
      </c>
      <c r="O259" s="46">
        <f t="shared" si="69"/>
        <v>232.75</v>
      </c>
      <c r="P259" s="137">
        <f t="shared" si="69"/>
        <v>16758</v>
      </c>
      <c r="Q259" s="167">
        <f t="shared" si="69"/>
        <v>543544</v>
      </c>
      <c r="R259" s="137">
        <f t="shared" si="69"/>
        <v>150353.15000000002</v>
      </c>
      <c r="S259" s="137">
        <f t="shared" si="69"/>
        <v>5435.44</v>
      </c>
      <c r="T259" s="171">
        <f t="shared" si="69"/>
        <v>1588.3999999999996</v>
      </c>
      <c r="U259" s="137">
        <f t="shared" si="69"/>
        <v>466842.6370868002</v>
      </c>
    </row>
  </sheetData>
  <autoFilter ref="A3:U257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zoomScale="80" zoomScaleNormal="80" workbookViewId="0" topLeftCell="J1">
      <selection activeCell="A94" sqref="A94:IV94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6" t="s">
        <v>376</v>
      </c>
      <c r="B4" s="7" t="s">
        <v>3</v>
      </c>
      <c r="C4" s="42" t="s">
        <v>1</v>
      </c>
      <c r="D4" s="8" t="s">
        <v>377</v>
      </c>
      <c r="E4" s="42" t="s">
        <v>378</v>
      </c>
      <c r="F4" s="39" t="s">
        <v>53</v>
      </c>
      <c r="G4" s="24" t="s">
        <v>62</v>
      </c>
      <c r="H4" s="136">
        <v>2588.823526800001</v>
      </c>
      <c r="I4" s="149">
        <v>7838</v>
      </c>
      <c r="J4" s="136">
        <f>I4*$J$1</f>
        <v>783.8000000000001</v>
      </c>
      <c r="K4" s="136">
        <v>0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1">H4+J4+K4+N4+P4+R4+S4+T4</f>
        <v>3372.6235268000014</v>
      </c>
    </row>
    <row r="5" spans="1:21" ht="15" outlineLevel="2">
      <c r="A5" s="6" t="s">
        <v>376</v>
      </c>
      <c r="B5" s="7" t="s">
        <v>3</v>
      </c>
      <c r="C5" s="42" t="s">
        <v>1</v>
      </c>
      <c r="D5" s="8" t="s">
        <v>377</v>
      </c>
      <c r="E5" s="42" t="s">
        <v>378</v>
      </c>
      <c r="F5" s="39" t="s">
        <v>53</v>
      </c>
      <c r="G5" s="24" t="s">
        <v>63</v>
      </c>
      <c r="H5" s="136">
        <v>540.08143</v>
      </c>
      <c r="I5" s="149">
        <v>187</v>
      </c>
      <c r="J5" s="136">
        <f>I5*$J$2</f>
        <v>11.219999999999999</v>
      </c>
      <c r="K5" s="136">
        <v>0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551.30143</v>
      </c>
    </row>
    <row r="6" spans="1:21" ht="15" outlineLevel="2">
      <c r="A6" s="6" t="s">
        <v>376</v>
      </c>
      <c r="B6" s="7" t="s">
        <v>3</v>
      </c>
      <c r="C6" s="42" t="s">
        <v>1</v>
      </c>
      <c r="D6" s="8" t="s">
        <v>377</v>
      </c>
      <c r="E6" s="42" t="s">
        <v>378</v>
      </c>
      <c r="F6" s="39" t="s">
        <v>53</v>
      </c>
      <c r="G6" s="24" t="s">
        <v>64</v>
      </c>
      <c r="H6" s="136">
        <v>1315.4257074</v>
      </c>
      <c r="I6" s="149">
        <v>768</v>
      </c>
      <c r="J6" s="136">
        <f>I6*$J$2</f>
        <v>46.08</v>
      </c>
      <c r="K6" s="136">
        <v>60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1421.5057074</v>
      </c>
    </row>
    <row r="7" spans="1:21" ht="15" outlineLevel="2">
      <c r="A7" s="6" t="s">
        <v>376</v>
      </c>
      <c r="B7" s="7" t="s">
        <v>3</v>
      </c>
      <c r="C7" s="42" t="s">
        <v>1</v>
      </c>
      <c r="D7" s="8" t="s">
        <v>377</v>
      </c>
      <c r="E7" s="42" t="s">
        <v>378</v>
      </c>
      <c r="F7" s="39" t="s">
        <v>53</v>
      </c>
      <c r="G7" s="24" t="s">
        <v>65</v>
      </c>
      <c r="H7" s="136">
        <v>267.6593444</v>
      </c>
      <c r="I7" s="149">
        <v>453</v>
      </c>
      <c r="J7" s="136">
        <f>I7*$J$2</f>
        <v>27.18</v>
      </c>
      <c r="K7" s="136">
        <v>30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324.8393444</v>
      </c>
    </row>
    <row r="8" spans="1:21" ht="15" outlineLevel="2">
      <c r="A8" s="6" t="s">
        <v>376</v>
      </c>
      <c r="B8" s="7" t="s">
        <v>3</v>
      </c>
      <c r="C8" s="42" t="s">
        <v>1</v>
      </c>
      <c r="D8" s="8" t="s">
        <v>377</v>
      </c>
      <c r="E8" s="42" t="s">
        <v>378</v>
      </c>
      <c r="F8" s="39" t="s">
        <v>53</v>
      </c>
      <c r="G8" s="24" t="s">
        <v>66</v>
      </c>
      <c r="H8" s="136">
        <v>223.51013859999998</v>
      </c>
      <c r="I8" s="149">
        <v>256</v>
      </c>
      <c r="J8" s="136">
        <f>I8*$J$2</f>
        <v>15.36</v>
      </c>
      <c r="K8" s="136">
        <v>75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313.87013859999996</v>
      </c>
    </row>
    <row r="9" spans="1:21" ht="15" outlineLevel="2">
      <c r="A9" s="6" t="s">
        <v>376</v>
      </c>
      <c r="B9" s="7" t="s">
        <v>3</v>
      </c>
      <c r="C9" s="42" t="s">
        <v>1</v>
      </c>
      <c r="D9" s="8" t="s">
        <v>377</v>
      </c>
      <c r="E9" s="42" t="s">
        <v>378</v>
      </c>
      <c r="F9" s="39" t="s">
        <v>53</v>
      </c>
      <c r="G9" s="24" t="s">
        <v>90</v>
      </c>
      <c r="H9" s="136">
        <v>222.817014</v>
      </c>
      <c r="I9" s="149">
        <v>813</v>
      </c>
      <c r="J9" s="136">
        <f>I9*$J$2</f>
        <v>48.78</v>
      </c>
      <c r="K9" s="136">
        <v>15</v>
      </c>
      <c r="L9" s="139"/>
      <c r="M9" s="139"/>
      <c r="N9" s="136"/>
      <c r="O9" s="11"/>
      <c r="P9" s="136"/>
      <c r="Q9" s="140"/>
      <c r="R9" s="136"/>
      <c r="S9" s="136"/>
      <c r="T9" s="136"/>
      <c r="U9" s="136">
        <f t="shared" si="0"/>
        <v>286.597014</v>
      </c>
    </row>
    <row r="10" spans="1:21" ht="15" outlineLevel="2">
      <c r="A10" s="6" t="str">
        <f>A9</f>
        <v>M522</v>
      </c>
      <c r="B10" s="7" t="s">
        <v>3</v>
      </c>
      <c r="C10" s="42" t="s">
        <v>1</v>
      </c>
      <c r="D10" s="13" t="str">
        <f>D9</f>
        <v>901000</v>
      </c>
      <c r="E10" s="24" t="str">
        <f>E9</f>
        <v>91-50</v>
      </c>
      <c r="F10" s="39" t="s">
        <v>585</v>
      </c>
      <c r="G10" s="24" t="s">
        <v>585</v>
      </c>
      <c r="H10" s="136"/>
      <c r="I10" s="149"/>
      <c r="J10" s="136"/>
      <c r="K10" s="136"/>
      <c r="L10" s="139">
        <v>2</v>
      </c>
      <c r="M10" s="139">
        <v>0.37</v>
      </c>
      <c r="N10" s="136">
        <f>L10*M10*$N$2</f>
        <v>2319.9</v>
      </c>
      <c r="O10" s="11"/>
      <c r="P10" s="136"/>
      <c r="Q10" s="140"/>
      <c r="R10" s="136"/>
      <c r="S10" s="136"/>
      <c r="T10" s="136"/>
      <c r="U10" s="136">
        <f t="shared" si="0"/>
        <v>2319.9</v>
      </c>
    </row>
    <row r="11" spans="1:21" ht="15" outlineLevel="2">
      <c r="A11" s="6" t="str">
        <f>A9</f>
        <v>M522</v>
      </c>
      <c r="B11" s="7" t="s">
        <v>3</v>
      </c>
      <c r="C11" s="43" t="s">
        <v>1</v>
      </c>
      <c r="D11" s="13" t="str">
        <f>D9</f>
        <v>901000</v>
      </c>
      <c r="E11" s="24" t="str">
        <f>E9</f>
        <v>91-50</v>
      </c>
      <c r="F11" s="39" t="s">
        <v>53</v>
      </c>
      <c r="G11" s="24" t="s">
        <v>684</v>
      </c>
      <c r="H11" s="136"/>
      <c r="I11" s="149"/>
      <c r="J11" s="136"/>
      <c r="K11" s="136"/>
      <c r="L11" s="139"/>
      <c r="M11" s="139"/>
      <c r="N11" s="136"/>
      <c r="O11" s="11"/>
      <c r="P11" s="136"/>
      <c r="Q11" s="140"/>
      <c r="R11" s="136">
        <v>33.39</v>
      </c>
      <c r="S11" s="136"/>
      <c r="T11" s="136"/>
      <c r="U11" s="136">
        <f t="shared" si="0"/>
        <v>33.39</v>
      </c>
    </row>
    <row r="12" spans="1:21" s="5" customFormat="1" ht="15.75" outlineLevel="1">
      <c r="A12" s="1" t="s">
        <v>866</v>
      </c>
      <c r="B12" s="49"/>
      <c r="C12" s="2"/>
      <c r="D12" s="61"/>
      <c r="E12" s="2"/>
      <c r="F12" s="47"/>
      <c r="G12" s="2"/>
      <c r="H12" s="137">
        <f aca="true" t="shared" si="1" ref="H12:U12">SUBTOTAL(9,H4:H11)</f>
        <v>5158.317161200001</v>
      </c>
      <c r="I12" s="144">
        <f t="shared" si="1"/>
        <v>10315</v>
      </c>
      <c r="J12" s="137">
        <f t="shared" si="1"/>
        <v>932.4200000000001</v>
      </c>
      <c r="K12" s="137">
        <f t="shared" si="1"/>
        <v>180</v>
      </c>
      <c r="L12" s="141">
        <f t="shared" si="1"/>
        <v>2</v>
      </c>
      <c r="M12" s="141">
        <f t="shared" si="1"/>
        <v>0.37</v>
      </c>
      <c r="N12" s="137">
        <f t="shared" si="1"/>
        <v>2319.9</v>
      </c>
      <c r="O12" s="45">
        <f t="shared" si="1"/>
        <v>0</v>
      </c>
      <c r="P12" s="137">
        <f t="shared" si="1"/>
        <v>0</v>
      </c>
      <c r="Q12" s="167">
        <f t="shared" si="1"/>
        <v>0</v>
      </c>
      <c r="R12" s="137">
        <f t="shared" si="1"/>
        <v>33.39</v>
      </c>
      <c r="S12" s="137">
        <f t="shared" si="1"/>
        <v>0</v>
      </c>
      <c r="T12" s="137">
        <f t="shared" si="1"/>
        <v>0</v>
      </c>
      <c r="U12" s="137">
        <f t="shared" si="1"/>
        <v>8624.027161200002</v>
      </c>
    </row>
    <row r="13" spans="1:21" ht="15" outlineLevel="2">
      <c r="A13" s="6" t="s">
        <v>384</v>
      </c>
      <c r="B13" s="7" t="s">
        <v>3</v>
      </c>
      <c r="C13" s="42" t="s">
        <v>46</v>
      </c>
      <c r="D13" s="8" t="s">
        <v>385</v>
      </c>
      <c r="E13" s="42" t="s">
        <v>378</v>
      </c>
      <c r="F13" s="39" t="s">
        <v>53</v>
      </c>
      <c r="G13" s="24" t="s">
        <v>62</v>
      </c>
      <c r="H13" s="136">
        <v>671.118680400001</v>
      </c>
      <c r="I13" s="149">
        <v>2024</v>
      </c>
      <c r="J13" s="136">
        <f>I13*$J$1</f>
        <v>202.4</v>
      </c>
      <c r="K13" s="136">
        <v>30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 aca="true" t="shared" si="2" ref="U13:U21">H13+J13+K13+N13+P13+R13+S13+T13</f>
        <v>903.518680400001</v>
      </c>
    </row>
    <row r="14" spans="1:21" ht="15" outlineLevel="2">
      <c r="A14" s="6" t="s">
        <v>384</v>
      </c>
      <c r="B14" s="7" t="s">
        <v>3</v>
      </c>
      <c r="C14" s="42" t="s">
        <v>46</v>
      </c>
      <c r="D14" s="8" t="s">
        <v>385</v>
      </c>
      <c r="E14" s="42" t="s">
        <v>378</v>
      </c>
      <c r="F14" s="39" t="s">
        <v>53</v>
      </c>
      <c r="G14" s="24" t="s">
        <v>63</v>
      </c>
      <c r="H14" s="136">
        <v>652.564752</v>
      </c>
      <c r="I14" s="149">
        <v>252</v>
      </c>
      <c r="J14" s="136">
        <f>I14*$J$2</f>
        <v>15.12</v>
      </c>
      <c r="K14" s="136">
        <v>15</v>
      </c>
      <c r="L14" s="139"/>
      <c r="M14" s="139"/>
      <c r="N14" s="136"/>
      <c r="O14" s="11"/>
      <c r="P14" s="136"/>
      <c r="Q14" s="140"/>
      <c r="R14" s="136"/>
      <c r="S14" s="136"/>
      <c r="T14" s="136"/>
      <c r="U14" s="136">
        <f t="shared" si="2"/>
        <v>682.684752</v>
      </c>
    </row>
    <row r="15" spans="1:21" ht="15" outlineLevel="2">
      <c r="A15" s="6" t="s">
        <v>384</v>
      </c>
      <c r="B15" s="7" t="s">
        <v>3</v>
      </c>
      <c r="C15" s="42" t="s">
        <v>46</v>
      </c>
      <c r="D15" s="8" t="s">
        <v>385</v>
      </c>
      <c r="E15" s="42" t="s">
        <v>378</v>
      </c>
      <c r="F15" s="39" t="s">
        <v>53</v>
      </c>
      <c r="G15" s="24" t="s">
        <v>64</v>
      </c>
      <c r="H15" s="136">
        <v>600.4566721999997</v>
      </c>
      <c r="I15" s="149">
        <v>476</v>
      </c>
      <c r="J15" s="136">
        <f>I15*$J$2</f>
        <v>28.56</v>
      </c>
      <c r="K15" s="136">
        <v>75</v>
      </c>
      <c r="L15" s="139"/>
      <c r="M15" s="139"/>
      <c r="N15" s="136"/>
      <c r="O15" s="11"/>
      <c r="P15" s="136"/>
      <c r="Q15" s="140"/>
      <c r="R15" s="136"/>
      <c r="S15" s="136"/>
      <c r="T15" s="136"/>
      <c r="U15" s="136">
        <f t="shared" si="2"/>
        <v>704.0166721999997</v>
      </c>
    </row>
    <row r="16" spans="1:21" ht="15" outlineLevel="2">
      <c r="A16" s="6" t="s">
        <v>384</v>
      </c>
      <c r="B16" s="7" t="s">
        <v>3</v>
      </c>
      <c r="C16" s="42" t="s">
        <v>46</v>
      </c>
      <c r="D16" s="8" t="s">
        <v>385</v>
      </c>
      <c r="E16" s="42" t="s">
        <v>378</v>
      </c>
      <c r="F16" s="39" t="s">
        <v>53</v>
      </c>
      <c r="G16" s="24" t="s">
        <v>65</v>
      </c>
      <c r="H16" s="136">
        <v>162.983898</v>
      </c>
      <c r="I16" s="149">
        <v>271</v>
      </c>
      <c r="J16" s="136">
        <f>I16*$J$2</f>
        <v>16.259999999999998</v>
      </c>
      <c r="K16" s="136">
        <v>30</v>
      </c>
      <c r="L16" s="139"/>
      <c r="M16" s="139"/>
      <c r="N16" s="136"/>
      <c r="O16" s="11"/>
      <c r="P16" s="136"/>
      <c r="Q16" s="140"/>
      <c r="R16" s="136"/>
      <c r="S16" s="136"/>
      <c r="T16" s="136"/>
      <c r="U16" s="136">
        <f t="shared" si="2"/>
        <v>209.243898</v>
      </c>
    </row>
    <row r="17" spans="1:21" ht="15" outlineLevel="2">
      <c r="A17" s="6" t="s">
        <v>384</v>
      </c>
      <c r="B17" s="7" t="s">
        <v>3</v>
      </c>
      <c r="C17" s="42" t="s">
        <v>46</v>
      </c>
      <c r="D17" s="8" t="s">
        <v>385</v>
      </c>
      <c r="E17" s="42" t="s">
        <v>378</v>
      </c>
      <c r="F17" s="39" t="s">
        <v>53</v>
      </c>
      <c r="G17" s="24" t="s">
        <v>66</v>
      </c>
      <c r="H17" s="136">
        <v>112.11526339999999</v>
      </c>
      <c r="I17" s="149">
        <v>119</v>
      </c>
      <c r="J17" s="136">
        <f>I17*$J$2</f>
        <v>7.14</v>
      </c>
      <c r="K17" s="136">
        <v>30</v>
      </c>
      <c r="L17" s="139"/>
      <c r="M17" s="139"/>
      <c r="N17" s="136"/>
      <c r="O17" s="11"/>
      <c r="P17" s="136"/>
      <c r="Q17" s="140"/>
      <c r="R17" s="136"/>
      <c r="S17" s="136"/>
      <c r="T17" s="136"/>
      <c r="U17" s="136">
        <f t="shared" si="2"/>
        <v>149.2552634</v>
      </c>
    </row>
    <row r="18" spans="1:21" ht="15" outlineLevel="2">
      <c r="A18" s="6" t="str">
        <f>A17</f>
        <v>M538</v>
      </c>
      <c r="B18" s="7" t="s">
        <v>3</v>
      </c>
      <c r="C18" s="42" t="s">
        <v>46</v>
      </c>
      <c r="D18" s="13" t="str">
        <f aca="true" t="shared" si="3" ref="D18:E20">D17</f>
        <v>TRANS</v>
      </c>
      <c r="E18" s="24" t="str">
        <f t="shared" si="3"/>
        <v>91-50</v>
      </c>
      <c r="F18" s="39" t="s">
        <v>585</v>
      </c>
      <c r="G18" s="24" t="s">
        <v>585</v>
      </c>
      <c r="H18" s="136"/>
      <c r="I18" s="149"/>
      <c r="J18" s="136"/>
      <c r="K18" s="136"/>
      <c r="L18" s="139">
        <v>4</v>
      </c>
      <c r="M18" s="139">
        <v>0.25</v>
      </c>
      <c r="N18" s="136">
        <f>L18*M18*$N$2</f>
        <v>3135</v>
      </c>
      <c r="O18" s="11"/>
      <c r="P18" s="136"/>
      <c r="Q18" s="140"/>
      <c r="R18" s="136"/>
      <c r="S18" s="136"/>
      <c r="T18" s="136"/>
      <c r="U18" s="136">
        <f t="shared" si="2"/>
        <v>3135</v>
      </c>
    </row>
    <row r="19" spans="1:21" ht="15" outlineLevel="2">
      <c r="A19" s="28" t="s">
        <v>384</v>
      </c>
      <c r="B19" s="11" t="str">
        <f>B18</f>
        <v>DCS</v>
      </c>
      <c r="C19" s="11" t="str">
        <f>C18</f>
        <v>Finance  &amp; Budget</v>
      </c>
      <c r="D19" s="13" t="str">
        <f t="shared" si="3"/>
        <v>TRANS</v>
      </c>
      <c r="E19" s="38" t="str">
        <f t="shared" si="3"/>
        <v>91-50</v>
      </c>
      <c r="F19" s="20" t="s">
        <v>615</v>
      </c>
      <c r="G19" s="11" t="s">
        <v>615</v>
      </c>
      <c r="H19" s="136"/>
      <c r="I19" s="140"/>
      <c r="J19" s="136"/>
      <c r="K19" s="136"/>
      <c r="L19" s="139"/>
      <c r="M19" s="139"/>
      <c r="N19" s="136"/>
      <c r="O19" s="29">
        <v>0.75</v>
      </c>
      <c r="P19" s="136">
        <f>O19*$P$2</f>
        <v>54</v>
      </c>
      <c r="Q19" s="140"/>
      <c r="R19" s="136"/>
      <c r="S19" s="136"/>
      <c r="T19" s="136"/>
      <c r="U19" s="136">
        <f t="shared" si="2"/>
        <v>54</v>
      </c>
    </row>
    <row r="20" spans="1:21" ht="15" outlineLevel="2">
      <c r="A20" s="36" t="s">
        <v>662</v>
      </c>
      <c r="B20" s="11" t="str">
        <f>B19</f>
        <v>DCS</v>
      </c>
      <c r="C20" s="11" t="str">
        <f>C19</f>
        <v>Finance  &amp; Budget</v>
      </c>
      <c r="D20" s="13" t="str">
        <f t="shared" si="3"/>
        <v>TRANS</v>
      </c>
      <c r="E20" s="27" t="str">
        <f t="shared" si="3"/>
        <v>91-50</v>
      </c>
      <c r="F20" s="20" t="s">
        <v>683</v>
      </c>
      <c r="G20" s="11" t="s">
        <v>683</v>
      </c>
      <c r="H20" s="136"/>
      <c r="I20" s="140"/>
      <c r="J20" s="136"/>
      <c r="K20" s="136"/>
      <c r="L20" s="139"/>
      <c r="M20" s="139"/>
      <c r="N20" s="136"/>
      <c r="O20" s="34"/>
      <c r="P20" s="136"/>
      <c r="Q20" s="140"/>
      <c r="R20" s="136"/>
      <c r="S20" s="136"/>
      <c r="T20" s="150">
        <f>57.51+8.94+10.79</f>
        <v>77.24000000000001</v>
      </c>
      <c r="U20" s="136">
        <f t="shared" si="2"/>
        <v>77.24000000000001</v>
      </c>
    </row>
    <row r="21" spans="1:21" ht="15" outlineLevel="2">
      <c r="A21" s="36" t="s">
        <v>662</v>
      </c>
      <c r="B21" s="11" t="str">
        <f>B19</f>
        <v>DCS</v>
      </c>
      <c r="C21" s="11" t="str">
        <f>C19</f>
        <v>Finance  &amp; Budget</v>
      </c>
      <c r="D21" s="13" t="str">
        <f>D19</f>
        <v>TRANS</v>
      </c>
      <c r="E21" s="27" t="str">
        <f>E19</f>
        <v>91-50</v>
      </c>
      <c r="F21" s="20" t="s">
        <v>53</v>
      </c>
      <c r="G21" s="11" t="s">
        <v>687</v>
      </c>
      <c r="H21" s="136"/>
      <c r="I21" s="140"/>
      <c r="J21" s="136"/>
      <c r="K21" s="136"/>
      <c r="L21" s="139"/>
      <c r="M21" s="139"/>
      <c r="N21" s="136"/>
      <c r="O21" s="34"/>
      <c r="P21" s="136"/>
      <c r="Q21" s="140"/>
      <c r="R21" s="136">
        <v>171.05</v>
      </c>
      <c r="S21" s="136"/>
      <c r="T21" s="150"/>
      <c r="U21" s="136">
        <f t="shared" si="2"/>
        <v>171.05</v>
      </c>
    </row>
    <row r="22" spans="1:21" s="5" customFormat="1" ht="15.75" outlineLevel="1">
      <c r="A22" s="1" t="s">
        <v>867</v>
      </c>
      <c r="B22" s="49"/>
      <c r="C22" s="2"/>
      <c r="D22" s="61"/>
      <c r="E22" s="2"/>
      <c r="F22" s="47"/>
      <c r="G22" s="2"/>
      <c r="H22" s="137">
        <f aca="true" t="shared" si="4" ref="H22:U22">SUBTOTAL(9,H13:H21)</f>
        <v>2199.239266000001</v>
      </c>
      <c r="I22" s="144">
        <f t="shared" si="4"/>
        <v>3142</v>
      </c>
      <c r="J22" s="137">
        <f t="shared" si="4"/>
        <v>269.48</v>
      </c>
      <c r="K22" s="137">
        <f t="shared" si="4"/>
        <v>180</v>
      </c>
      <c r="L22" s="141">
        <f t="shared" si="4"/>
        <v>4</v>
      </c>
      <c r="M22" s="141">
        <f t="shared" si="4"/>
        <v>0.25</v>
      </c>
      <c r="N22" s="137">
        <f t="shared" si="4"/>
        <v>3135</v>
      </c>
      <c r="O22" s="45">
        <f t="shared" si="4"/>
        <v>0.75</v>
      </c>
      <c r="P22" s="137">
        <f t="shared" si="4"/>
        <v>54</v>
      </c>
      <c r="Q22" s="167">
        <f t="shared" si="4"/>
        <v>0</v>
      </c>
      <c r="R22" s="137">
        <f t="shared" si="4"/>
        <v>171.05</v>
      </c>
      <c r="S22" s="137">
        <f t="shared" si="4"/>
        <v>0</v>
      </c>
      <c r="T22" s="137">
        <f t="shared" si="4"/>
        <v>77.24000000000001</v>
      </c>
      <c r="U22" s="137">
        <f t="shared" si="4"/>
        <v>6086.009266000001</v>
      </c>
    </row>
    <row r="23" spans="1:21" ht="15" outlineLevel="2">
      <c r="A23" s="6" t="s">
        <v>386</v>
      </c>
      <c r="B23" s="7" t="s">
        <v>3</v>
      </c>
      <c r="C23" s="7" t="s">
        <v>387</v>
      </c>
      <c r="D23" s="8" t="s">
        <v>388</v>
      </c>
      <c r="E23" s="42" t="s">
        <v>378</v>
      </c>
      <c r="F23" s="39" t="s">
        <v>53</v>
      </c>
      <c r="G23" s="24" t="s">
        <v>62</v>
      </c>
      <c r="H23" s="136">
        <v>379.404452</v>
      </c>
      <c r="I23" s="149">
        <v>1156</v>
      </c>
      <c r="J23" s="136">
        <f>I23*$J$1</f>
        <v>115.60000000000001</v>
      </c>
      <c r="K23" s="136">
        <v>60</v>
      </c>
      <c r="L23" s="139"/>
      <c r="M23" s="139"/>
      <c r="N23" s="136"/>
      <c r="O23" s="11"/>
      <c r="P23" s="136"/>
      <c r="Q23" s="140"/>
      <c r="R23" s="136"/>
      <c r="S23" s="136"/>
      <c r="T23" s="136"/>
      <c r="U23" s="136">
        <f aca="true" t="shared" si="5" ref="U23:U29">H23+J23+K23+N23+P23+R23+S23+T23</f>
        <v>555.004452</v>
      </c>
    </row>
    <row r="24" spans="1:21" ht="15" outlineLevel="2">
      <c r="A24" s="6" t="s">
        <v>386</v>
      </c>
      <c r="B24" s="7" t="s">
        <v>3</v>
      </c>
      <c r="C24" s="7" t="s">
        <v>387</v>
      </c>
      <c r="D24" s="8" t="s">
        <v>388</v>
      </c>
      <c r="E24" s="42" t="s">
        <v>378</v>
      </c>
      <c r="F24" s="39" t="s">
        <v>53</v>
      </c>
      <c r="G24" s="24" t="s">
        <v>63</v>
      </c>
      <c r="H24" s="136">
        <v>41.73428</v>
      </c>
      <c r="I24" s="149">
        <v>20</v>
      </c>
      <c r="J24" s="136">
        <f>I24*$J$2</f>
        <v>1.2</v>
      </c>
      <c r="K24" s="136">
        <v>45</v>
      </c>
      <c r="L24" s="139"/>
      <c r="M24" s="139"/>
      <c r="N24" s="136"/>
      <c r="O24" s="11"/>
      <c r="P24" s="136"/>
      <c r="Q24" s="140"/>
      <c r="R24" s="136"/>
      <c r="S24" s="136"/>
      <c r="T24" s="136"/>
      <c r="U24" s="136">
        <f t="shared" si="5"/>
        <v>87.93428</v>
      </c>
    </row>
    <row r="25" spans="1:21" ht="15" outlineLevel="2">
      <c r="A25" s="6" t="s">
        <v>386</v>
      </c>
      <c r="B25" s="7" t="s">
        <v>3</v>
      </c>
      <c r="C25" s="7" t="s">
        <v>387</v>
      </c>
      <c r="D25" s="8" t="s">
        <v>388</v>
      </c>
      <c r="E25" s="42" t="s">
        <v>378</v>
      </c>
      <c r="F25" s="39" t="s">
        <v>53</v>
      </c>
      <c r="G25" s="24" t="s">
        <v>64</v>
      </c>
      <c r="H25" s="136">
        <v>12.625143999999999</v>
      </c>
      <c r="I25" s="149">
        <v>12</v>
      </c>
      <c r="J25" s="136">
        <f>I25*$J$2</f>
        <v>0.72</v>
      </c>
      <c r="K25" s="136">
        <v>15</v>
      </c>
      <c r="L25" s="139"/>
      <c r="M25" s="139"/>
      <c r="N25" s="136"/>
      <c r="O25" s="11"/>
      <c r="P25" s="136"/>
      <c r="Q25" s="140"/>
      <c r="R25" s="136"/>
      <c r="S25" s="136"/>
      <c r="T25" s="136"/>
      <c r="U25" s="136">
        <f t="shared" si="5"/>
        <v>28.345143999999998</v>
      </c>
    </row>
    <row r="26" spans="1:21" ht="15" outlineLevel="2">
      <c r="A26" s="6" t="s">
        <v>386</v>
      </c>
      <c r="B26" s="7" t="s">
        <v>3</v>
      </c>
      <c r="C26" s="7" t="s">
        <v>387</v>
      </c>
      <c r="D26" s="8" t="s">
        <v>388</v>
      </c>
      <c r="E26" s="42" t="s">
        <v>378</v>
      </c>
      <c r="F26" s="39" t="s">
        <v>53</v>
      </c>
      <c r="G26" s="24" t="s">
        <v>65</v>
      </c>
      <c r="H26" s="136">
        <v>10.066559999999999</v>
      </c>
      <c r="I26" s="149">
        <v>21</v>
      </c>
      <c r="J26" s="136">
        <f>I26*$J$2</f>
        <v>1.26</v>
      </c>
      <c r="K26" s="136">
        <v>30</v>
      </c>
      <c r="L26" s="139"/>
      <c r="M26" s="139"/>
      <c r="N26" s="136"/>
      <c r="O26" s="11"/>
      <c r="P26" s="136"/>
      <c r="Q26" s="140"/>
      <c r="R26" s="136"/>
      <c r="S26" s="136"/>
      <c r="T26" s="136"/>
      <c r="U26" s="136">
        <f t="shared" si="5"/>
        <v>41.32656</v>
      </c>
    </row>
    <row r="27" spans="1:21" ht="15" outlineLevel="2">
      <c r="A27" s="6" t="s">
        <v>386</v>
      </c>
      <c r="B27" s="7" t="s">
        <v>3</v>
      </c>
      <c r="C27" s="7" t="s">
        <v>387</v>
      </c>
      <c r="D27" s="8" t="s">
        <v>388</v>
      </c>
      <c r="E27" s="42" t="s">
        <v>378</v>
      </c>
      <c r="F27" s="39" t="s">
        <v>53</v>
      </c>
      <c r="G27" s="24" t="s">
        <v>66</v>
      </c>
      <c r="H27" s="136">
        <v>9.243409</v>
      </c>
      <c r="I27" s="149">
        <v>10</v>
      </c>
      <c r="J27" s="136">
        <f>I27*$J$2</f>
        <v>0.6</v>
      </c>
      <c r="K27" s="136">
        <v>30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 t="shared" si="5"/>
        <v>39.843409</v>
      </c>
    </row>
    <row r="28" spans="1:21" ht="15" outlineLevel="2">
      <c r="A28" s="6" t="str">
        <f>A27</f>
        <v>M539</v>
      </c>
      <c r="B28" s="7" t="s">
        <v>3</v>
      </c>
      <c r="C28" s="11" t="str">
        <f>C27</f>
        <v>TRANSPORTATION DIVISION</v>
      </c>
      <c r="D28" s="13" t="str">
        <f>D27</f>
        <v>6700AN0050520</v>
      </c>
      <c r="E28" s="24" t="str">
        <f>E27</f>
        <v>91-50</v>
      </c>
      <c r="F28" s="39" t="s">
        <v>585</v>
      </c>
      <c r="G28" s="24" t="s">
        <v>585</v>
      </c>
      <c r="H28" s="136"/>
      <c r="I28" s="149"/>
      <c r="J28" s="136"/>
      <c r="K28" s="136"/>
      <c r="L28" s="139">
        <v>1</v>
      </c>
      <c r="M28" s="139">
        <v>0.75</v>
      </c>
      <c r="N28" s="136">
        <f>L28*M28*$N$2</f>
        <v>2351.25</v>
      </c>
      <c r="O28" s="11"/>
      <c r="P28" s="136"/>
      <c r="Q28" s="140"/>
      <c r="R28" s="136"/>
      <c r="S28" s="136"/>
      <c r="T28" s="136"/>
      <c r="U28" s="136">
        <f t="shared" si="5"/>
        <v>2351.25</v>
      </c>
    </row>
    <row r="29" spans="1:21" ht="15" outlineLevel="2">
      <c r="A29" s="6" t="str">
        <f>A27</f>
        <v>M539</v>
      </c>
      <c r="B29" s="7" t="s">
        <v>3</v>
      </c>
      <c r="C29" s="11" t="str">
        <f>C27</f>
        <v>TRANSPORTATION DIVISION</v>
      </c>
      <c r="D29" s="13" t="str">
        <f>D27</f>
        <v>6700AN0050520</v>
      </c>
      <c r="E29" s="24" t="str">
        <f>E27</f>
        <v>91-50</v>
      </c>
      <c r="F29" s="39" t="s">
        <v>53</v>
      </c>
      <c r="G29" s="24" t="s">
        <v>687</v>
      </c>
      <c r="H29" s="136"/>
      <c r="I29" s="149"/>
      <c r="J29" s="136"/>
      <c r="K29" s="136"/>
      <c r="L29" s="139"/>
      <c r="M29" s="139"/>
      <c r="N29" s="136"/>
      <c r="O29" s="11"/>
      <c r="P29" s="136"/>
      <c r="Q29" s="140"/>
      <c r="R29" s="136">
        <v>3153.57</v>
      </c>
      <c r="S29" s="136"/>
      <c r="T29" s="136"/>
      <c r="U29" s="136">
        <f t="shared" si="5"/>
        <v>3153.57</v>
      </c>
    </row>
    <row r="30" spans="1:21" s="5" customFormat="1" ht="15.75" outlineLevel="1">
      <c r="A30" s="1" t="s">
        <v>868</v>
      </c>
      <c r="B30" s="49"/>
      <c r="C30" s="2"/>
      <c r="D30" s="61"/>
      <c r="E30" s="2"/>
      <c r="F30" s="47"/>
      <c r="G30" s="2"/>
      <c r="H30" s="137">
        <f aca="true" t="shared" si="6" ref="H30:U30">SUBTOTAL(9,H23:H29)</f>
        <v>453.07384499999995</v>
      </c>
      <c r="I30" s="144">
        <f t="shared" si="6"/>
        <v>1219</v>
      </c>
      <c r="J30" s="137">
        <f t="shared" si="6"/>
        <v>119.38000000000001</v>
      </c>
      <c r="K30" s="137">
        <f t="shared" si="6"/>
        <v>180</v>
      </c>
      <c r="L30" s="141">
        <f t="shared" si="6"/>
        <v>1</v>
      </c>
      <c r="M30" s="141">
        <f t="shared" si="6"/>
        <v>0.75</v>
      </c>
      <c r="N30" s="137">
        <f t="shared" si="6"/>
        <v>2351.25</v>
      </c>
      <c r="O30" s="45">
        <f t="shared" si="6"/>
        <v>0</v>
      </c>
      <c r="P30" s="137">
        <f t="shared" si="6"/>
        <v>0</v>
      </c>
      <c r="Q30" s="167">
        <f t="shared" si="6"/>
        <v>0</v>
      </c>
      <c r="R30" s="137">
        <f t="shared" si="6"/>
        <v>3153.57</v>
      </c>
      <c r="S30" s="137">
        <f t="shared" si="6"/>
        <v>0</v>
      </c>
      <c r="T30" s="137">
        <f t="shared" si="6"/>
        <v>0</v>
      </c>
      <c r="U30" s="137">
        <f t="shared" si="6"/>
        <v>6257.273845</v>
      </c>
    </row>
    <row r="31" spans="1:21" ht="15" outlineLevel="2">
      <c r="A31" s="6" t="s">
        <v>389</v>
      </c>
      <c r="B31" s="7" t="s">
        <v>3</v>
      </c>
      <c r="C31" s="7" t="s">
        <v>390</v>
      </c>
      <c r="D31" s="8" t="s">
        <v>391</v>
      </c>
      <c r="E31" s="42" t="s">
        <v>378</v>
      </c>
      <c r="F31" s="39" t="s">
        <v>53</v>
      </c>
      <c r="G31" s="24" t="s">
        <v>62</v>
      </c>
      <c r="H31" s="136">
        <v>0.6543264</v>
      </c>
      <c r="I31" s="149">
        <v>2</v>
      </c>
      <c r="J31" s="136">
        <f>I31*$J$1</f>
        <v>0.2</v>
      </c>
      <c r="K31" s="136">
        <v>0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>H31+J31+K31+N31+P31+R31+S31+T31</f>
        <v>0.8543263999999999</v>
      </c>
    </row>
    <row r="32" spans="1:21" ht="15" outlineLevel="2">
      <c r="A32" s="6" t="s">
        <v>389</v>
      </c>
      <c r="B32" s="7" t="s">
        <v>3</v>
      </c>
      <c r="C32" s="7" t="s">
        <v>390</v>
      </c>
      <c r="D32" s="8" t="s">
        <v>391</v>
      </c>
      <c r="E32" s="42" t="s">
        <v>378</v>
      </c>
      <c r="F32" s="39" t="s">
        <v>53</v>
      </c>
      <c r="G32" s="24" t="s">
        <v>63</v>
      </c>
      <c r="H32" s="136">
        <v>51.549175999999996</v>
      </c>
      <c r="I32" s="149">
        <v>18</v>
      </c>
      <c r="J32" s="136">
        <f>I32*$J$2</f>
        <v>1.08</v>
      </c>
      <c r="K32" s="136">
        <v>45</v>
      </c>
      <c r="L32" s="139"/>
      <c r="M32" s="139"/>
      <c r="N32" s="136"/>
      <c r="O32" s="11"/>
      <c r="P32" s="136"/>
      <c r="Q32" s="140"/>
      <c r="R32" s="136"/>
      <c r="S32" s="136"/>
      <c r="T32" s="136"/>
      <c r="U32" s="136">
        <f>H32+J32+K32+N32+P32+R32+S32+T32</f>
        <v>97.629176</v>
      </c>
    </row>
    <row r="33" spans="1:21" ht="15" outlineLevel="2">
      <c r="A33" s="6" t="s">
        <v>389</v>
      </c>
      <c r="B33" s="7" t="s">
        <v>3</v>
      </c>
      <c r="C33" s="7" t="s">
        <v>390</v>
      </c>
      <c r="D33" s="8" t="s">
        <v>391</v>
      </c>
      <c r="E33" s="42" t="s">
        <v>378</v>
      </c>
      <c r="F33" s="39" t="s">
        <v>53</v>
      </c>
      <c r="G33" s="24" t="s">
        <v>64</v>
      </c>
      <c r="H33" s="136">
        <v>25.062588599999994</v>
      </c>
      <c r="I33" s="149">
        <v>15</v>
      </c>
      <c r="J33" s="136">
        <f>I33*$J$2</f>
        <v>0.8999999999999999</v>
      </c>
      <c r="K33" s="136">
        <v>30</v>
      </c>
      <c r="L33" s="139"/>
      <c r="M33" s="139"/>
      <c r="N33" s="136"/>
      <c r="O33" s="11"/>
      <c r="P33" s="136"/>
      <c r="Q33" s="140"/>
      <c r="R33" s="136"/>
      <c r="S33" s="136"/>
      <c r="T33" s="136"/>
      <c r="U33" s="136">
        <f>H33+J33+K33+N33+P33+R33+S33+T33</f>
        <v>55.96258859999999</v>
      </c>
    </row>
    <row r="34" spans="1:21" ht="15" outlineLevel="2">
      <c r="A34" s="6" t="s">
        <v>389</v>
      </c>
      <c r="B34" s="7" t="s">
        <v>3</v>
      </c>
      <c r="C34" s="7" t="s">
        <v>390</v>
      </c>
      <c r="D34" s="8" t="s">
        <v>391</v>
      </c>
      <c r="E34" s="42" t="s">
        <v>378</v>
      </c>
      <c r="F34" s="39" t="s">
        <v>53</v>
      </c>
      <c r="G34" s="24" t="s">
        <v>65</v>
      </c>
      <c r="H34" s="136">
        <v>2.223032</v>
      </c>
      <c r="I34" s="149">
        <v>3</v>
      </c>
      <c r="J34" s="136">
        <f>I34*$J$2</f>
        <v>0.18</v>
      </c>
      <c r="K34" s="136">
        <v>15</v>
      </c>
      <c r="L34" s="139"/>
      <c r="M34" s="139"/>
      <c r="N34" s="136"/>
      <c r="O34" s="11"/>
      <c r="P34" s="136"/>
      <c r="Q34" s="140"/>
      <c r="R34" s="136"/>
      <c r="S34" s="136"/>
      <c r="T34" s="136"/>
      <c r="U34" s="136">
        <f>H34+J34+K34+N34+P34+R34+S34+T34</f>
        <v>17.403032</v>
      </c>
    </row>
    <row r="35" spans="1:21" ht="15" outlineLevel="2">
      <c r="A35" s="6" t="s">
        <v>389</v>
      </c>
      <c r="B35" s="7" t="s">
        <v>3</v>
      </c>
      <c r="C35" s="7" t="s">
        <v>390</v>
      </c>
      <c r="D35" s="8" t="s">
        <v>391</v>
      </c>
      <c r="E35" s="42" t="s">
        <v>378</v>
      </c>
      <c r="F35" s="39" t="s">
        <v>53</v>
      </c>
      <c r="G35" s="24" t="s">
        <v>66</v>
      </c>
      <c r="H35" s="136">
        <v>14.580782999999998</v>
      </c>
      <c r="I35" s="149">
        <v>11</v>
      </c>
      <c r="J35" s="136">
        <f>I35*$J$2</f>
        <v>0.6599999999999999</v>
      </c>
      <c r="K35" s="136">
        <v>60</v>
      </c>
      <c r="L35" s="139"/>
      <c r="M35" s="139"/>
      <c r="N35" s="136"/>
      <c r="O35" s="11"/>
      <c r="P35" s="136"/>
      <c r="Q35" s="140"/>
      <c r="R35" s="136"/>
      <c r="S35" s="136"/>
      <c r="T35" s="136"/>
      <c r="U35" s="136">
        <f>H35+J35+K35+N35+P35+R35+S35+T35</f>
        <v>75.240783</v>
      </c>
    </row>
    <row r="36" spans="1:21" s="5" customFormat="1" ht="15.75" outlineLevel="1">
      <c r="A36" s="1" t="s">
        <v>869</v>
      </c>
      <c r="B36" s="49"/>
      <c r="C36" s="2"/>
      <c r="D36" s="61"/>
      <c r="E36" s="2"/>
      <c r="F36" s="47"/>
      <c r="G36" s="2"/>
      <c r="H36" s="137">
        <f aca="true" t="shared" si="7" ref="H36:U36">SUBTOTAL(9,H31:H35)</f>
        <v>94.06990599999999</v>
      </c>
      <c r="I36" s="144">
        <f t="shared" si="7"/>
        <v>49</v>
      </c>
      <c r="J36" s="137">
        <f t="shared" si="7"/>
        <v>3.0199999999999996</v>
      </c>
      <c r="K36" s="137">
        <f t="shared" si="7"/>
        <v>150</v>
      </c>
      <c r="L36" s="141">
        <f t="shared" si="7"/>
        <v>0</v>
      </c>
      <c r="M36" s="141">
        <f t="shared" si="7"/>
        <v>0</v>
      </c>
      <c r="N36" s="137">
        <f t="shared" si="7"/>
        <v>0</v>
      </c>
      <c r="O36" s="45">
        <f t="shared" si="7"/>
        <v>0</v>
      </c>
      <c r="P36" s="137">
        <f t="shared" si="7"/>
        <v>0</v>
      </c>
      <c r="Q36" s="167">
        <f t="shared" si="7"/>
        <v>0</v>
      </c>
      <c r="R36" s="137">
        <f t="shared" si="7"/>
        <v>0</v>
      </c>
      <c r="S36" s="137">
        <f t="shared" si="7"/>
        <v>0</v>
      </c>
      <c r="T36" s="137">
        <f t="shared" si="7"/>
        <v>0</v>
      </c>
      <c r="U36" s="137">
        <f t="shared" si="7"/>
        <v>247.08990599999998</v>
      </c>
    </row>
    <row r="37" spans="1:21" ht="15.75" outlineLevel="2">
      <c r="A37" s="6" t="s">
        <v>429</v>
      </c>
      <c r="B37" s="7" t="s">
        <v>3</v>
      </c>
      <c r="C37" s="160" t="s">
        <v>39</v>
      </c>
      <c r="D37" s="8" t="s">
        <v>430</v>
      </c>
      <c r="E37" s="42" t="s">
        <v>431</v>
      </c>
      <c r="F37" s="39" t="s">
        <v>53</v>
      </c>
      <c r="G37" s="24" t="s">
        <v>62</v>
      </c>
      <c r="H37" s="136">
        <v>77.5827682</v>
      </c>
      <c r="I37" s="149">
        <v>234</v>
      </c>
      <c r="J37" s="136">
        <f>I37*$J$1</f>
        <v>23.400000000000002</v>
      </c>
      <c r="K37" s="136">
        <v>135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>H37+J37+K37+N37+P37+R37+S37+T37</f>
        <v>235.9827682</v>
      </c>
    </row>
    <row r="38" spans="1:21" ht="15.75" outlineLevel="2">
      <c r="A38" s="6" t="s">
        <v>429</v>
      </c>
      <c r="B38" s="7" t="s">
        <v>3</v>
      </c>
      <c r="C38" s="160" t="s">
        <v>39</v>
      </c>
      <c r="D38" s="8" t="s">
        <v>430</v>
      </c>
      <c r="E38" s="42" t="s">
        <v>431</v>
      </c>
      <c r="F38" s="39" t="s">
        <v>53</v>
      </c>
      <c r="G38" s="24" t="s">
        <v>63</v>
      </c>
      <c r="H38" s="136">
        <v>0.817908</v>
      </c>
      <c r="I38" s="149">
        <v>1</v>
      </c>
      <c r="J38" s="136">
        <f>I38*$J$2</f>
        <v>0.06</v>
      </c>
      <c r="K38" s="136">
        <v>0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>H38+J38+K38+N38+P38+R38+S38+T38</f>
        <v>0.8779079999999999</v>
      </c>
    </row>
    <row r="39" spans="1:21" ht="15.75" outlineLevel="2">
      <c r="A39" s="6" t="s">
        <v>429</v>
      </c>
      <c r="B39" s="7" t="s">
        <v>3</v>
      </c>
      <c r="C39" s="160" t="s">
        <v>39</v>
      </c>
      <c r="D39" s="8" t="s">
        <v>430</v>
      </c>
      <c r="E39" s="42" t="s">
        <v>431</v>
      </c>
      <c r="F39" s="39" t="s">
        <v>53</v>
      </c>
      <c r="G39" s="24" t="s">
        <v>64</v>
      </c>
      <c r="H39" s="136">
        <v>24.7238908</v>
      </c>
      <c r="I39" s="149">
        <v>40</v>
      </c>
      <c r="J39" s="136">
        <f>I39*$J$2</f>
        <v>2.4</v>
      </c>
      <c r="K39" s="136">
        <v>15</v>
      </c>
      <c r="L39" s="139"/>
      <c r="M39" s="139"/>
      <c r="N39" s="136"/>
      <c r="O39" s="11"/>
      <c r="P39" s="136"/>
      <c r="Q39" s="140"/>
      <c r="R39" s="136"/>
      <c r="S39" s="136"/>
      <c r="T39" s="136"/>
      <c r="U39" s="136">
        <f>H39+J39+K39+N39+P39+R39+S39+T39</f>
        <v>42.1238908</v>
      </c>
    </row>
    <row r="40" spans="1:21" ht="15.75" outlineLevel="2">
      <c r="A40" s="6" t="s">
        <v>429</v>
      </c>
      <c r="B40" s="7" t="s">
        <v>3</v>
      </c>
      <c r="C40" s="160" t="s">
        <v>39</v>
      </c>
      <c r="D40" s="8" t="s">
        <v>430</v>
      </c>
      <c r="E40" s="42" t="s">
        <v>431</v>
      </c>
      <c r="F40" s="39" t="s">
        <v>53</v>
      </c>
      <c r="G40" s="24" t="s">
        <v>65</v>
      </c>
      <c r="H40" s="136">
        <v>115.115308</v>
      </c>
      <c r="I40" s="149">
        <v>97</v>
      </c>
      <c r="J40" s="136">
        <f>I40*$J$2</f>
        <v>5.819999999999999</v>
      </c>
      <c r="K40" s="136">
        <v>15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>H40+J40+K40+N40+P40+R40+S40+T40</f>
        <v>135.935308</v>
      </c>
    </row>
    <row r="41" spans="1:21" ht="15.75" outlineLevel="2">
      <c r="A41" s="6" t="s">
        <v>429</v>
      </c>
      <c r="B41" s="7" t="s">
        <v>3</v>
      </c>
      <c r="C41" s="160" t="s">
        <v>39</v>
      </c>
      <c r="D41" s="8" t="s">
        <v>430</v>
      </c>
      <c r="E41" s="42" t="s">
        <v>431</v>
      </c>
      <c r="F41" s="39" t="s">
        <v>53</v>
      </c>
      <c r="G41" s="24" t="s">
        <v>66</v>
      </c>
      <c r="H41" s="136">
        <v>11.361581000000001</v>
      </c>
      <c r="I41" s="149">
        <v>17</v>
      </c>
      <c r="J41" s="136">
        <f>I41*$J$2</f>
        <v>1.02</v>
      </c>
      <c r="K41" s="136">
        <v>15</v>
      </c>
      <c r="L41" s="139"/>
      <c r="M41" s="139"/>
      <c r="N41" s="136"/>
      <c r="O41" s="11"/>
      <c r="P41" s="136"/>
      <c r="Q41" s="140"/>
      <c r="R41" s="136"/>
      <c r="S41" s="136"/>
      <c r="T41" s="136"/>
      <c r="U41" s="136">
        <f>H41+J41+K41+N41+P41+R41+S41+T41</f>
        <v>27.381581</v>
      </c>
    </row>
    <row r="42" spans="1:21" s="5" customFormat="1" ht="15.75" outlineLevel="1">
      <c r="A42" s="1" t="s">
        <v>870</v>
      </c>
      <c r="B42" s="49"/>
      <c r="C42" s="2"/>
      <c r="D42" s="61"/>
      <c r="E42" s="2"/>
      <c r="F42" s="47"/>
      <c r="G42" s="2"/>
      <c r="H42" s="137">
        <f aca="true" t="shared" si="8" ref="H42:U42">SUBTOTAL(9,H37:H41)</f>
        <v>229.601456</v>
      </c>
      <c r="I42" s="144">
        <f t="shared" si="8"/>
        <v>389</v>
      </c>
      <c r="J42" s="137">
        <f t="shared" si="8"/>
        <v>32.7</v>
      </c>
      <c r="K42" s="137">
        <f t="shared" si="8"/>
        <v>180</v>
      </c>
      <c r="L42" s="141">
        <f t="shared" si="8"/>
        <v>0</v>
      </c>
      <c r="M42" s="141">
        <f t="shared" si="8"/>
        <v>0</v>
      </c>
      <c r="N42" s="137">
        <f t="shared" si="8"/>
        <v>0</v>
      </c>
      <c r="O42" s="45">
        <f t="shared" si="8"/>
        <v>0</v>
      </c>
      <c r="P42" s="137">
        <f t="shared" si="8"/>
        <v>0</v>
      </c>
      <c r="Q42" s="167">
        <f t="shared" si="8"/>
        <v>0</v>
      </c>
      <c r="R42" s="137">
        <f t="shared" si="8"/>
        <v>0</v>
      </c>
      <c r="S42" s="137">
        <f t="shared" si="8"/>
        <v>0</v>
      </c>
      <c r="T42" s="137">
        <f t="shared" si="8"/>
        <v>0</v>
      </c>
      <c r="U42" s="137">
        <f t="shared" si="8"/>
        <v>442.3014559999999</v>
      </c>
    </row>
    <row r="43" spans="1:21" ht="15" outlineLevel="2">
      <c r="A43" s="6" t="s">
        <v>432</v>
      </c>
      <c r="B43" s="7" t="s">
        <v>3</v>
      </c>
      <c r="C43" s="7" t="s">
        <v>387</v>
      </c>
      <c r="D43" s="8" t="s">
        <v>433</v>
      </c>
      <c r="E43" s="42" t="s">
        <v>378</v>
      </c>
      <c r="F43" s="39" t="s">
        <v>53</v>
      </c>
      <c r="G43" s="24" t="s">
        <v>62</v>
      </c>
      <c r="H43" s="136">
        <v>26.682675599999996</v>
      </c>
      <c r="I43" s="149">
        <v>78</v>
      </c>
      <c r="J43" s="136">
        <f>I43*$J$1</f>
        <v>7.800000000000001</v>
      </c>
      <c r="K43" s="136">
        <v>105</v>
      </c>
      <c r="L43" s="139"/>
      <c r="M43" s="139"/>
      <c r="N43" s="136"/>
      <c r="O43" s="11"/>
      <c r="P43" s="136"/>
      <c r="Q43" s="140"/>
      <c r="R43" s="136"/>
      <c r="S43" s="136"/>
      <c r="T43" s="136"/>
      <c r="U43" s="136">
        <f>H43+J43+K43+N43+P43+R43+S43+T43</f>
        <v>139.4826756</v>
      </c>
    </row>
    <row r="44" spans="1:21" ht="15" outlineLevel="2">
      <c r="A44" s="6" t="s">
        <v>432</v>
      </c>
      <c r="B44" s="7" t="s">
        <v>3</v>
      </c>
      <c r="C44" s="7" t="s">
        <v>387</v>
      </c>
      <c r="D44" s="8" t="s">
        <v>433</v>
      </c>
      <c r="E44" s="42" t="s">
        <v>378</v>
      </c>
      <c r="F44" s="39" t="s">
        <v>53</v>
      </c>
      <c r="G44" s="24" t="s">
        <v>65</v>
      </c>
      <c r="H44" s="136">
        <v>5.2010559999999995</v>
      </c>
      <c r="I44" s="149">
        <v>12</v>
      </c>
      <c r="J44" s="136">
        <f>I44*$J$2</f>
        <v>0.72</v>
      </c>
      <c r="K44" s="136">
        <v>15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>H44+J44+K44+N44+P44+R44+S44+T44</f>
        <v>20.921056</v>
      </c>
    </row>
    <row r="45" spans="1:21" ht="15" outlineLevel="2">
      <c r="A45" s="6" t="str">
        <f>A44</f>
        <v>M661</v>
      </c>
      <c r="B45" s="11" t="str">
        <f>B44</f>
        <v>DCS</v>
      </c>
      <c r="C45" s="11" t="str">
        <f>C44</f>
        <v>TRANSPORTATION DIVISION</v>
      </c>
      <c r="D45" s="13" t="str">
        <f>D44</f>
        <v>6610AN0050520</v>
      </c>
      <c r="E45" s="24" t="str">
        <f>E44</f>
        <v>91-50</v>
      </c>
      <c r="F45" s="39" t="s">
        <v>585</v>
      </c>
      <c r="G45" s="24" t="s">
        <v>585</v>
      </c>
      <c r="H45" s="136"/>
      <c r="I45" s="149"/>
      <c r="J45" s="136"/>
      <c r="K45" s="136"/>
      <c r="L45" s="139">
        <v>1</v>
      </c>
      <c r="M45" s="139">
        <v>0.25</v>
      </c>
      <c r="N45" s="136">
        <f>L45*M45*$N$2</f>
        <v>783.75</v>
      </c>
      <c r="O45" s="11"/>
      <c r="P45" s="136"/>
      <c r="Q45" s="140"/>
      <c r="R45" s="136"/>
      <c r="S45" s="136"/>
      <c r="T45" s="136"/>
      <c r="U45" s="136">
        <f>H45+J45+K45+N45+P45+R45+S45+T45</f>
        <v>783.75</v>
      </c>
    </row>
    <row r="46" spans="1:21" s="5" customFormat="1" ht="15.75" outlineLevel="1">
      <c r="A46" s="1" t="s">
        <v>871</v>
      </c>
      <c r="B46" s="49"/>
      <c r="C46" s="2"/>
      <c r="D46" s="61"/>
      <c r="E46" s="2"/>
      <c r="F46" s="47"/>
      <c r="G46" s="2"/>
      <c r="H46" s="137">
        <f aca="true" t="shared" si="9" ref="H46:U46">SUBTOTAL(9,H43:H45)</f>
        <v>31.883731599999997</v>
      </c>
      <c r="I46" s="144">
        <f t="shared" si="9"/>
        <v>90</v>
      </c>
      <c r="J46" s="137">
        <f t="shared" si="9"/>
        <v>8.520000000000001</v>
      </c>
      <c r="K46" s="137">
        <f t="shared" si="9"/>
        <v>120</v>
      </c>
      <c r="L46" s="141">
        <f t="shared" si="9"/>
        <v>1</v>
      </c>
      <c r="M46" s="141">
        <f t="shared" si="9"/>
        <v>0.25</v>
      </c>
      <c r="N46" s="137">
        <f t="shared" si="9"/>
        <v>783.75</v>
      </c>
      <c r="O46" s="45">
        <f t="shared" si="9"/>
        <v>0</v>
      </c>
      <c r="P46" s="137">
        <f t="shared" si="9"/>
        <v>0</v>
      </c>
      <c r="Q46" s="167">
        <f t="shared" si="9"/>
        <v>0</v>
      </c>
      <c r="R46" s="137">
        <f t="shared" si="9"/>
        <v>0</v>
      </c>
      <c r="S46" s="137">
        <f t="shared" si="9"/>
        <v>0</v>
      </c>
      <c r="T46" s="137">
        <f t="shared" si="9"/>
        <v>0</v>
      </c>
      <c r="U46" s="137">
        <f t="shared" si="9"/>
        <v>944.1537316</v>
      </c>
    </row>
    <row r="47" spans="1:21" ht="15" outlineLevel="2">
      <c r="A47" s="6" t="s">
        <v>440</v>
      </c>
      <c r="B47" s="7" t="s">
        <v>3</v>
      </c>
      <c r="C47" s="7" t="s">
        <v>239</v>
      </c>
      <c r="D47" s="8" t="s">
        <v>441</v>
      </c>
      <c r="E47" s="42" t="s">
        <v>442</v>
      </c>
      <c r="F47" s="39" t="s">
        <v>53</v>
      </c>
      <c r="G47" s="24" t="s">
        <v>62</v>
      </c>
      <c r="H47" s="136">
        <v>122.6683738</v>
      </c>
      <c r="I47" s="149">
        <v>374</v>
      </c>
      <c r="J47" s="136">
        <f>I47*$J$1</f>
        <v>37.4</v>
      </c>
      <c r="K47" s="136">
        <v>75</v>
      </c>
      <c r="L47" s="139"/>
      <c r="M47" s="139"/>
      <c r="N47" s="136"/>
      <c r="O47" s="11"/>
      <c r="P47" s="136"/>
      <c r="Q47" s="140"/>
      <c r="R47" s="136"/>
      <c r="S47" s="136"/>
      <c r="T47" s="136"/>
      <c r="U47" s="136">
        <f>H47+J47+K47+N47+P47+R47+S47+T47</f>
        <v>235.0683738</v>
      </c>
    </row>
    <row r="48" spans="1:21" ht="15" outlineLevel="2">
      <c r="A48" s="6" t="s">
        <v>440</v>
      </c>
      <c r="B48" s="7" t="s">
        <v>3</v>
      </c>
      <c r="C48" s="7" t="s">
        <v>239</v>
      </c>
      <c r="D48" s="8" t="s">
        <v>441</v>
      </c>
      <c r="E48" s="42" t="s">
        <v>442</v>
      </c>
      <c r="F48" s="39" t="s">
        <v>53</v>
      </c>
      <c r="G48" s="24" t="s">
        <v>63</v>
      </c>
      <c r="H48" s="136">
        <v>32.496114</v>
      </c>
      <c r="I48" s="149">
        <v>8</v>
      </c>
      <c r="J48" s="136">
        <f>I48*$J$2</f>
        <v>0.48</v>
      </c>
      <c r="K48" s="136">
        <v>30</v>
      </c>
      <c r="L48" s="139"/>
      <c r="M48" s="139"/>
      <c r="N48" s="136"/>
      <c r="O48" s="11"/>
      <c r="P48" s="136"/>
      <c r="Q48" s="140"/>
      <c r="R48" s="136"/>
      <c r="S48" s="136"/>
      <c r="T48" s="136"/>
      <c r="U48" s="136">
        <f>H48+J48+K48+N48+P48+R48+S48+T48</f>
        <v>62.976113999999995</v>
      </c>
    </row>
    <row r="49" spans="1:21" ht="15" outlineLevel="2">
      <c r="A49" s="6" t="s">
        <v>440</v>
      </c>
      <c r="B49" s="7" t="s">
        <v>3</v>
      </c>
      <c r="C49" s="7" t="s">
        <v>239</v>
      </c>
      <c r="D49" s="8" t="s">
        <v>441</v>
      </c>
      <c r="E49" s="42" t="s">
        <v>442</v>
      </c>
      <c r="F49" s="39" t="s">
        <v>53</v>
      </c>
      <c r="G49" s="24" t="s">
        <v>64</v>
      </c>
      <c r="H49" s="136">
        <v>17.543078</v>
      </c>
      <c r="I49" s="149">
        <v>10</v>
      </c>
      <c r="J49" s="136">
        <f>I49*$J$2</f>
        <v>0.6</v>
      </c>
      <c r="K49" s="136">
        <v>0</v>
      </c>
      <c r="L49" s="139"/>
      <c r="M49" s="139"/>
      <c r="N49" s="136"/>
      <c r="O49" s="11"/>
      <c r="P49" s="136"/>
      <c r="Q49" s="140"/>
      <c r="R49" s="136"/>
      <c r="S49" s="136"/>
      <c r="T49" s="136"/>
      <c r="U49" s="136">
        <f>H49+J49+K49+N49+P49+R49+S49+T49</f>
        <v>18.143078000000003</v>
      </c>
    </row>
    <row r="50" spans="1:21" ht="15" outlineLevel="2">
      <c r="A50" s="6" t="s">
        <v>440</v>
      </c>
      <c r="B50" s="7" t="s">
        <v>3</v>
      </c>
      <c r="C50" s="7" t="s">
        <v>239</v>
      </c>
      <c r="D50" s="8" t="s">
        <v>441</v>
      </c>
      <c r="E50" s="42" t="s">
        <v>442</v>
      </c>
      <c r="F50" s="39" t="s">
        <v>53</v>
      </c>
      <c r="G50" s="24" t="s">
        <v>65</v>
      </c>
      <c r="H50" s="136">
        <v>57.685583199999996</v>
      </c>
      <c r="I50" s="149">
        <v>101</v>
      </c>
      <c r="J50" s="136">
        <f>I50*$J$2</f>
        <v>6.06</v>
      </c>
      <c r="K50" s="136">
        <v>90</v>
      </c>
      <c r="L50" s="139"/>
      <c r="M50" s="139"/>
      <c r="N50" s="136"/>
      <c r="O50" s="11"/>
      <c r="P50" s="136"/>
      <c r="Q50" s="140"/>
      <c r="R50" s="136"/>
      <c r="S50" s="136"/>
      <c r="T50" s="136"/>
      <c r="U50" s="136">
        <f>H50+J50+K50+N50+P50+R50+S50+T50</f>
        <v>153.7455832</v>
      </c>
    </row>
    <row r="51" spans="1:21" s="5" customFormat="1" ht="15.75" outlineLevel="1">
      <c r="A51" s="1" t="s">
        <v>872</v>
      </c>
      <c r="B51" s="49"/>
      <c r="C51" s="2"/>
      <c r="D51" s="61"/>
      <c r="E51" s="2"/>
      <c r="F51" s="47"/>
      <c r="G51" s="2"/>
      <c r="H51" s="137">
        <f aca="true" t="shared" si="10" ref="H51:U51">SUBTOTAL(9,H47:H50)</f>
        <v>230.393149</v>
      </c>
      <c r="I51" s="144">
        <f t="shared" si="10"/>
        <v>493</v>
      </c>
      <c r="J51" s="137">
        <f t="shared" si="10"/>
        <v>44.54</v>
      </c>
      <c r="K51" s="137">
        <f t="shared" si="10"/>
        <v>195</v>
      </c>
      <c r="L51" s="141">
        <f t="shared" si="10"/>
        <v>0</v>
      </c>
      <c r="M51" s="141">
        <f t="shared" si="10"/>
        <v>0</v>
      </c>
      <c r="N51" s="137">
        <f t="shared" si="10"/>
        <v>0</v>
      </c>
      <c r="O51" s="45">
        <f t="shared" si="10"/>
        <v>0</v>
      </c>
      <c r="P51" s="137">
        <f t="shared" si="10"/>
        <v>0</v>
      </c>
      <c r="Q51" s="167">
        <f t="shared" si="10"/>
        <v>0</v>
      </c>
      <c r="R51" s="137">
        <f t="shared" si="10"/>
        <v>0</v>
      </c>
      <c r="S51" s="137">
        <f t="shared" si="10"/>
        <v>0</v>
      </c>
      <c r="T51" s="137">
        <f t="shared" si="10"/>
        <v>0</v>
      </c>
      <c r="U51" s="137">
        <f t="shared" si="10"/>
        <v>469.93314899999996</v>
      </c>
    </row>
    <row r="52" spans="1:21" ht="15.75" outlineLevel="2">
      <c r="A52" s="6" t="s">
        <v>496</v>
      </c>
      <c r="B52" s="7" t="s">
        <v>3</v>
      </c>
      <c r="C52" s="160" t="s">
        <v>40</v>
      </c>
      <c r="D52" s="8" t="s">
        <v>497</v>
      </c>
      <c r="E52" s="42" t="s">
        <v>498</v>
      </c>
      <c r="F52" s="39" t="s">
        <v>53</v>
      </c>
      <c r="G52" s="24" t="s">
        <v>62</v>
      </c>
      <c r="H52" s="136">
        <v>620.7565195999999</v>
      </c>
      <c r="I52" s="149">
        <v>1851</v>
      </c>
      <c r="J52" s="136">
        <f>I52*$J$1</f>
        <v>185.10000000000002</v>
      </c>
      <c r="K52" s="136">
        <v>30</v>
      </c>
      <c r="L52" s="139"/>
      <c r="M52" s="139"/>
      <c r="N52" s="136"/>
      <c r="O52" s="11"/>
      <c r="P52" s="136"/>
      <c r="Q52" s="140"/>
      <c r="R52" s="136"/>
      <c r="S52" s="136"/>
      <c r="T52" s="136"/>
      <c r="U52" s="136">
        <f aca="true" t="shared" si="11" ref="U52:U62">H52+J52+K52+N52+P52+R52+S52+T52</f>
        <v>835.8565196</v>
      </c>
    </row>
    <row r="53" spans="1:21" ht="15" outlineLevel="2">
      <c r="A53" s="6" t="s">
        <v>496</v>
      </c>
      <c r="B53" s="7" t="s">
        <v>3</v>
      </c>
      <c r="C53" s="42" t="s">
        <v>40</v>
      </c>
      <c r="D53" s="8" t="s">
        <v>497</v>
      </c>
      <c r="E53" s="42" t="s">
        <v>498</v>
      </c>
      <c r="F53" s="39" t="s">
        <v>53</v>
      </c>
      <c r="G53" s="24" t="s">
        <v>63</v>
      </c>
      <c r="H53" s="136">
        <v>691.9732371999997</v>
      </c>
      <c r="I53" s="149">
        <v>120</v>
      </c>
      <c r="J53" s="136">
        <f aca="true" t="shared" si="12" ref="J53:J59">I53*$J$2</f>
        <v>7.199999999999999</v>
      </c>
      <c r="K53" s="136">
        <v>15</v>
      </c>
      <c r="L53" s="139"/>
      <c r="M53" s="139"/>
      <c r="N53" s="136"/>
      <c r="O53" s="11"/>
      <c r="P53" s="136"/>
      <c r="Q53" s="140"/>
      <c r="R53" s="136"/>
      <c r="S53" s="136"/>
      <c r="T53" s="136"/>
      <c r="U53" s="136">
        <f t="shared" si="11"/>
        <v>714.1732371999998</v>
      </c>
    </row>
    <row r="54" spans="1:21" ht="15" outlineLevel="2">
      <c r="A54" s="6" t="s">
        <v>496</v>
      </c>
      <c r="B54" s="7" t="s">
        <v>3</v>
      </c>
      <c r="C54" s="42" t="s">
        <v>40</v>
      </c>
      <c r="D54" s="8" t="s">
        <v>497</v>
      </c>
      <c r="E54" s="42" t="s">
        <v>498</v>
      </c>
      <c r="F54" s="39" t="s">
        <v>53</v>
      </c>
      <c r="G54" s="24" t="s">
        <v>64</v>
      </c>
      <c r="H54" s="136">
        <v>162.38514739999997</v>
      </c>
      <c r="I54" s="149">
        <v>134</v>
      </c>
      <c r="J54" s="136">
        <f t="shared" si="12"/>
        <v>8.04</v>
      </c>
      <c r="K54" s="136">
        <v>0</v>
      </c>
      <c r="L54" s="139"/>
      <c r="M54" s="139"/>
      <c r="N54" s="136"/>
      <c r="O54" s="11"/>
      <c r="P54" s="136"/>
      <c r="Q54" s="140"/>
      <c r="R54" s="136"/>
      <c r="S54" s="136"/>
      <c r="T54" s="136"/>
      <c r="U54" s="136">
        <f t="shared" si="11"/>
        <v>170.42514739999996</v>
      </c>
    </row>
    <row r="55" spans="1:21" ht="15" outlineLevel="2">
      <c r="A55" s="6" t="s">
        <v>496</v>
      </c>
      <c r="B55" s="7" t="s">
        <v>3</v>
      </c>
      <c r="C55" s="42" t="s">
        <v>40</v>
      </c>
      <c r="D55" s="8" t="s">
        <v>497</v>
      </c>
      <c r="E55" s="42" t="s">
        <v>498</v>
      </c>
      <c r="F55" s="39" t="s">
        <v>53</v>
      </c>
      <c r="G55" s="24" t="s">
        <v>65</v>
      </c>
      <c r="H55" s="136">
        <v>64.63780120000001</v>
      </c>
      <c r="I55" s="149">
        <v>117</v>
      </c>
      <c r="J55" s="136">
        <f t="shared" si="12"/>
        <v>7.02</v>
      </c>
      <c r="K55" s="136">
        <v>45</v>
      </c>
      <c r="L55" s="139"/>
      <c r="M55" s="139"/>
      <c r="N55" s="136"/>
      <c r="O55" s="11"/>
      <c r="P55" s="136"/>
      <c r="Q55" s="140"/>
      <c r="R55" s="136"/>
      <c r="S55" s="136"/>
      <c r="T55" s="136"/>
      <c r="U55" s="136">
        <f t="shared" si="11"/>
        <v>116.65780120000001</v>
      </c>
    </row>
    <row r="56" spans="1:21" ht="15" outlineLevel="2">
      <c r="A56" s="6" t="s">
        <v>496</v>
      </c>
      <c r="B56" s="7" t="s">
        <v>3</v>
      </c>
      <c r="C56" s="42" t="s">
        <v>40</v>
      </c>
      <c r="D56" s="8" t="s">
        <v>497</v>
      </c>
      <c r="E56" s="42" t="s">
        <v>498</v>
      </c>
      <c r="F56" s="39" t="s">
        <v>53</v>
      </c>
      <c r="G56" s="24" t="s">
        <v>66</v>
      </c>
      <c r="H56" s="136">
        <v>15.660841</v>
      </c>
      <c r="I56" s="149">
        <v>13</v>
      </c>
      <c r="J56" s="136">
        <f t="shared" si="12"/>
        <v>0.78</v>
      </c>
      <c r="K56" s="136">
        <v>15</v>
      </c>
      <c r="L56" s="139"/>
      <c r="M56" s="139"/>
      <c r="N56" s="136"/>
      <c r="O56" s="11"/>
      <c r="P56" s="136"/>
      <c r="Q56" s="140"/>
      <c r="R56" s="136"/>
      <c r="S56" s="136"/>
      <c r="T56" s="136"/>
      <c r="U56" s="136">
        <f t="shared" si="11"/>
        <v>31.440841</v>
      </c>
    </row>
    <row r="57" spans="1:21" ht="15" outlineLevel="2">
      <c r="A57" s="6" t="s">
        <v>496</v>
      </c>
      <c r="B57" s="7" t="s">
        <v>3</v>
      </c>
      <c r="C57" s="42" t="s">
        <v>40</v>
      </c>
      <c r="D57" s="8" t="s">
        <v>497</v>
      </c>
      <c r="E57" s="42" t="s">
        <v>498</v>
      </c>
      <c r="F57" s="39" t="s">
        <v>53</v>
      </c>
      <c r="G57" s="24" t="s">
        <v>286</v>
      </c>
      <c r="H57" s="136">
        <v>34.792548</v>
      </c>
      <c r="I57" s="149">
        <v>6</v>
      </c>
      <c r="J57" s="136">
        <f t="shared" si="12"/>
        <v>0.36</v>
      </c>
      <c r="K57" s="136">
        <v>0</v>
      </c>
      <c r="L57" s="139"/>
      <c r="M57" s="139"/>
      <c r="N57" s="136"/>
      <c r="O57" s="11"/>
      <c r="P57" s="136"/>
      <c r="Q57" s="140"/>
      <c r="R57" s="136"/>
      <c r="S57" s="136"/>
      <c r="T57" s="136"/>
      <c r="U57" s="136">
        <f t="shared" si="11"/>
        <v>35.152547999999996</v>
      </c>
    </row>
    <row r="58" spans="1:21" ht="15" outlineLevel="2">
      <c r="A58" s="6" t="s">
        <v>496</v>
      </c>
      <c r="B58" s="7" t="s">
        <v>3</v>
      </c>
      <c r="C58" s="42" t="s">
        <v>40</v>
      </c>
      <c r="D58" s="8" t="s">
        <v>497</v>
      </c>
      <c r="E58" s="42" t="s">
        <v>498</v>
      </c>
      <c r="F58" s="39" t="s">
        <v>53</v>
      </c>
      <c r="G58" s="24" t="s">
        <v>167</v>
      </c>
      <c r="H58" s="136">
        <v>317.67337</v>
      </c>
      <c r="I58" s="149">
        <v>346</v>
      </c>
      <c r="J58" s="136">
        <f t="shared" si="12"/>
        <v>20.759999999999998</v>
      </c>
      <c r="K58" s="136">
        <v>75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t="shared" si="11"/>
        <v>413.43336999999997</v>
      </c>
    </row>
    <row r="59" spans="1:21" ht="15" outlineLevel="2">
      <c r="A59" s="6" t="s">
        <v>496</v>
      </c>
      <c r="B59" s="7" t="s">
        <v>3</v>
      </c>
      <c r="C59" s="42" t="s">
        <v>40</v>
      </c>
      <c r="D59" s="8" t="s">
        <v>497</v>
      </c>
      <c r="E59" s="42" t="s">
        <v>498</v>
      </c>
      <c r="F59" s="39" t="s">
        <v>53</v>
      </c>
      <c r="G59" s="24" t="s">
        <v>499</v>
      </c>
      <c r="H59" s="136">
        <v>3.61767</v>
      </c>
      <c r="I59" s="149">
        <v>5</v>
      </c>
      <c r="J59" s="136">
        <f t="shared" si="12"/>
        <v>0.3</v>
      </c>
      <c r="K59" s="136">
        <v>0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1"/>
        <v>3.9176699999999998</v>
      </c>
    </row>
    <row r="60" spans="1:21" ht="15" outlineLevel="2">
      <c r="A60" s="6" t="str">
        <f>A59</f>
        <v>M769</v>
      </c>
      <c r="B60" s="7" t="s">
        <v>3</v>
      </c>
      <c r="C60" s="42" t="s">
        <v>40</v>
      </c>
      <c r="D60" s="13" t="str">
        <f aca="true" t="shared" si="13" ref="D60:E62">D59</f>
        <v>908000</v>
      </c>
      <c r="E60" s="24" t="str">
        <f t="shared" si="13"/>
        <v>91-40</v>
      </c>
      <c r="F60" s="39" t="s">
        <v>585</v>
      </c>
      <c r="G60" s="24" t="s">
        <v>585</v>
      </c>
      <c r="H60" s="136"/>
      <c r="I60" s="149"/>
      <c r="J60" s="136"/>
      <c r="K60" s="136"/>
      <c r="L60" s="139">
        <v>2</v>
      </c>
      <c r="M60" s="139">
        <v>1</v>
      </c>
      <c r="N60" s="136">
        <f>L60*M60*$N$2</f>
        <v>6270</v>
      </c>
      <c r="O60" s="11"/>
      <c r="P60" s="136"/>
      <c r="Q60" s="140"/>
      <c r="R60" s="136"/>
      <c r="S60" s="136"/>
      <c r="T60" s="136"/>
      <c r="U60" s="136">
        <f t="shared" si="11"/>
        <v>6270</v>
      </c>
    </row>
    <row r="61" spans="1:21" ht="15" outlineLevel="2">
      <c r="A61" s="28" t="s">
        <v>496</v>
      </c>
      <c r="B61" s="11" t="str">
        <f>B60</f>
        <v>DCS</v>
      </c>
      <c r="C61" s="11" t="str">
        <f>C60</f>
        <v>DCS-Elections-Admin</v>
      </c>
      <c r="D61" s="13" t="str">
        <f t="shared" si="13"/>
        <v>908000</v>
      </c>
      <c r="E61" s="38" t="str">
        <f t="shared" si="13"/>
        <v>91-40</v>
      </c>
      <c r="F61" s="20" t="s">
        <v>615</v>
      </c>
      <c r="G61" s="11" t="s">
        <v>615</v>
      </c>
      <c r="H61" s="136"/>
      <c r="I61" s="140"/>
      <c r="J61" s="136"/>
      <c r="K61" s="136"/>
      <c r="L61" s="139"/>
      <c r="M61" s="139"/>
      <c r="N61" s="136"/>
      <c r="O61" s="29">
        <v>0.75</v>
      </c>
      <c r="P61" s="136">
        <f>O61*$P$2</f>
        <v>54</v>
      </c>
      <c r="Q61" s="140"/>
      <c r="R61" s="136"/>
      <c r="S61" s="136"/>
      <c r="T61" s="136"/>
      <c r="U61" s="136">
        <f t="shared" si="11"/>
        <v>54</v>
      </c>
    </row>
    <row r="62" spans="1:21" ht="15" outlineLevel="2">
      <c r="A62" s="36" t="s">
        <v>676</v>
      </c>
      <c r="B62" s="11" t="str">
        <f>B61</f>
        <v>DCS</v>
      </c>
      <c r="C62" s="11" t="str">
        <f>C61</f>
        <v>DCS-Elections-Admin</v>
      </c>
      <c r="D62" s="13" t="str">
        <f t="shared" si="13"/>
        <v>908000</v>
      </c>
      <c r="E62" s="27" t="str">
        <f t="shared" si="13"/>
        <v>91-40</v>
      </c>
      <c r="F62" s="20" t="s">
        <v>683</v>
      </c>
      <c r="G62" s="11" t="s">
        <v>683</v>
      </c>
      <c r="H62" s="136"/>
      <c r="I62" s="140"/>
      <c r="J62" s="136"/>
      <c r="K62" s="136"/>
      <c r="L62" s="139"/>
      <c r="M62" s="139"/>
      <c r="N62" s="136"/>
      <c r="O62" s="34"/>
      <c r="P62" s="136"/>
      <c r="Q62" s="140"/>
      <c r="R62" s="136"/>
      <c r="S62" s="136"/>
      <c r="T62" s="150">
        <f>11.9+7.58</f>
        <v>19.48</v>
      </c>
      <c r="U62" s="136">
        <f t="shared" si="11"/>
        <v>19.48</v>
      </c>
    </row>
    <row r="63" spans="1:21" s="5" customFormat="1" ht="15.75" outlineLevel="1">
      <c r="A63" s="1" t="s">
        <v>873</v>
      </c>
      <c r="B63" s="49"/>
      <c r="C63" s="2"/>
      <c r="D63" s="61"/>
      <c r="E63" s="2"/>
      <c r="F63" s="47"/>
      <c r="G63" s="2"/>
      <c r="H63" s="137">
        <f aca="true" t="shared" si="14" ref="H63:U63">SUBTOTAL(9,H52:H62)</f>
        <v>1911.4971343999996</v>
      </c>
      <c r="I63" s="144">
        <f t="shared" si="14"/>
        <v>2592</v>
      </c>
      <c r="J63" s="137">
        <f t="shared" si="14"/>
        <v>229.56000000000003</v>
      </c>
      <c r="K63" s="137">
        <f t="shared" si="14"/>
        <v>180</v>
      </c>
      <c r="L63" s="141">
        <f t="shared" si="14"/>
        <v>2</v>
      </c>
      <c r="M63" s="141">
        <f t="shared" si="14"/>
        <v>1</v>
      </c>
      <c r="N63" s="137">
        <f t="shared" si="14"/>
        <v>6270</v>
      </c>
      <c r="O63" s="45">
        <f t="shared" si="14"/>
        <v>0.75</v>
      </c>
      <c r="P63" s="137">
        <f t="shared" si="14"/>
        <v>54</v>
      </c>
      <c r="Q63" s="167">
        <f t="shared" si="14"/>
        <v>0</v>
      </c>
      <c r="R63" s="137">
        <f t="shared" si="14"/>
        <v>0</v>
      </c>
      <c r="S63" s="137">
        <f t="shared" si="14"/>
        <v>0</v>
      </c>
      <c r="T63" s="137">
        <f t="shared" si="14"/>
        <v>19.48</v>
      </c>
      <c r="U63" s="137">
        <f t="shared" si="14"/>
        <v>8664.5371344</v>
      </c>
    </row>
    <row r="64" spans="1:21" ht="15" outlineLevel="2">
      <c r="A64" s="6" t="s">
        <v>500</v>
      </c>
      <c r="B64" s="7" t="s">
        <v>3</v>
      </c>
      <c r="C64" s="42" t="s">
        <v>41</v>
      </c>
      <c r="D64" s="8" t="s">
        <v>501</v>
      </c>
      <c r="E64" s="42" t="s">
        <v>498</v>
      </c>
      <c r="F64" s="39" t="s">
        <v>53</v>
      </c>
      <c r="G64" s="11" t="s">
        <v>63</v>
      </c>
      <c r="H64" s="136">
        <v>3.324062</v>
      </c>
      <c r="I64" s="140">
        <v>1</v>
      </c>
      <c r="J64" s="136">
        <f>I64*$J$2</f>
        <v>0.06</v>
      </c>
      <c r="K64" s="136">
        <v>15</v>
      </c>
      <c r="L64" s="139"/>
      <c r="M64" s="139"/>
      <c r="N64" s="136"/>
      <c r="O64" s="11"/>
      <c r="P64" s="136"/>
      <c r="Q64" s="140"/>
      <c r="R64" s="136"/>
      <c r="S64" s="136"/>
      <c r="T64" s="136"/>
      <c r="U64" s="136">
        <f>H64+J64+K64+N64+P64+R64+S64+T64</f>
        <v>18.384062</v>
      </c>
    </row>
    <row r="65" spans="1:21" ht="15" outlineLevel="2">
      <c r="A65" s="6" t="s">
        <v>500</v>
      </c>
      <c r="B65" s="7" t="s">
        <v>3</v>
      </c>
      <c r="C65" s="42" t="s">
        <v>41</v>
      </c>
      <c r="D65" s="8" t="s">
        <v>501</v>
      </c>
      <c r="E65" s="42" t="s">
        <v>498</v>
      </c>
      <c r="F65" s="39" t="s">
        <v>53</v>
      </c>
      <c r="G65" s="24" t="s">
        <v>65</v>
      </c>
      <c r="H65" s="136">
        <v>0.8808239999999999</v>
      </c>
      <c r="I65" s="149">
        <v>2</v>
      </c>
      <c r="J65" s="136">
        <f>I65*$J$2</f>
        <v>0.12</v>
      </c>
      <c r="K65" s="136">
        <v>15</v>
      </c>
      <c r="L65" s="139"/>
      <c r="M65" s="139"/>
      <c r="N65" s="136"/>
      <c r="O65" s="11"/>
      <c r="P65" s="136"/>
      <c r="Q65" s="140"/>
      <c r="R65" s="136"/>
      <c r="S65" s="136"/>
      <c r="T65" s="136"/>
      <c r="U65" s="136">
        <f>H65+J65+K65+N65+P65+R65+S65+T65</f>
        <v>16.000824</v>
      </c>
    </row>
    <row r="66" spans="1:21" s="5" customFormat="1" ht="15.75" outlineLevel="1">
      <c r="A66" s="1" t="s">
        <v>874</v>
      </c>
      <c r="B66" s="49"/>
      <c r="C66" s="2"/>
      <c r="D66" s="61"/>
      <c r="E66" s="2"/>
      <c r="F66" s="47"/>
      <c r="G66" s="2"/>
      <c r="H66" s="137">
        <f aca="true" t="shared" si="15" ref="H66:U66">SUBTOTAL(9,H64:H65)</f>
        <v>4.204886</v>
      </c>
      <c r="I66" s="144">
        <f t="shared" si="15"/>
        <v>3</v>
      </c>
      <c r="J66" s="137">
        <f t="shared" si="15"/>
        <v>0.18</v>
      </c>
      <c r="K66" s="137">
        <f t="shared" si="15"/>
        <v>30</v>
      </c>
      <c r="L66" s="141">
        <f t="shared" si="15"/>
        <v>0</v>
      </c>
      <c r="M66" s="141">
        <f t="shared" si="15"/>
        <v>0</v>
      </c>
      <c r="N66" s="137">
        <f t="shared" si="15"/>
        <v>0</v>
      </c>
      <c r="O66" s="45">
        <f t="shared" si="15"/>
        <v>0</v>
      </c>
      <c r="P66" s="137">
        <f t="shared" si="15"/>
        <v>0</v>
      </c>
      <c r="Q66" s="167">
        <f t="shared" si="15"/>
        <v>0</v>
      </c>
      <c r="R66" s="137">
        <f t="shared" si="15"/>
        <v>0</v>
      </c>
      <c r="S66" s="137">
        <f t="shared" si="15"/>
        <v>0</v>
      </c>
      <c r="T66" s="137">
        <f t="shared" si="15"/>
        <v>0</v>
      </c>
      <c r="U66" s="137">
        <f t="shared" si="15"/>
        <v>34.384886</v>
      </c>
    </row>
    <row r="67" spans="1:21" ht="15" outlineLevel="2">
      <c r="A67" s="6" t="s">
        <v>502</v>
      </c>
      <c r="B67" s="7" t="s">
        <v>3</v>
      </c>
      <c r="C67" s="42" t="s">
        <v>42</v>
      </c>
      <c r="D67" s="8" t="s">
        <v>503</v>
      </c>
      <c r="E67" s="42" t="s">
        <v>498</v>
      </c>
      <c r="F67" s="39" t="s">
        <v>53</v>
      </c>
      <c r="G67" s="24" t="s">
        <v>62</v>
      </c>
      <c r="H67" s="136">
        <v>4996.969079199998</v>
      </c>
      <c r="I67" s="149">
        <v>12817</v>
      </c>
      <c r="J67" s="136">
        <f>I67*$J$1</f>
        <v>1281.7</v>
      </c>
      <c r="K67" s="136">
        <v>45</v>
      </c>
      <c r="L67" s="139"/>
      <c r="M67" s="139"/>
      <c r="N67" s="136"/>
      <c r="O67" s="11"/>
      <c r="P67" s="136"/>
      <c r="Q67" s="140"/>
      <c r="R67" s="136"/>
      <c r="S67" s="136"/>
      <c r="T67" s="136"/>
      <c r="U67" s="136">
        <f aca="true" t="shared" si="16" ref="U67:U72">H67+J67+K67+N67+P67+R67+S67+T67</f>
        <v>6323.669079199998</v>
      </c>
    </row>
    <row r="68" spans="1:21" ht="15" outlineLevel="2">
      <c r="A68" s="6" t="s">
        <v>502</v>
      </c>
      <c r="B68" s="7" t="s">
        <v>3</v>
      </c>
      <c r="C68" s="42" t="s">
        <v>42</v>
      </c>
      <c r="D68" s="8" t="s">
        <v>503</v>
      </c>
      <c r="E68" s="42" t="s">
        <v>498</v>
      </c>
      <c r="F68" s="39" t="s">
        <v>53</v>
      </c>
      <c r="G68" s="24" t="s">
        <v>63</v>
      </c>
      <c r="H68" s="136">
        <v>24.033912</v>
      </c>
      <c r="I68" s="149">
        <v>7</v>
      </c>
      <c r="J68" s="136">
        <f>I68*$J$2</f>
        <v>0.42</v>
      </c>
      <c r="K68" s="136">
        <v>0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t="shared" si="16"/>
        <v>24.453912000000003</v>
      </c>
    </row>
    <row r="69" spans="1:21" ht="15" outlineLevel="2">
      <c r="A69" s="6" t="s">
        <v>502</v>
      </c>
      <c r="B69" s="7" t="s">
        <v>3</v>
      </c>
      <c r="C69" s="42" t="s">
        <v>42</v>
      </c>
      <c r="D69" s="8" t="s">
        <v>503</v>
      </c>
      <c r="E69" s="42" t="s">
        <v>498</v>
      </c>
      <c r="F69" s="39" t="s">
        <v>53</v>
      </c>
      <c r="G69" s="24" t="s">
        <v>64</v>
      </c>
      <c r="H69" s="136">
        <v>19.665444400000002</v>
      </c>
      <c r="I69" s="149">
        <v>19</v>
      </c>
      <c r="J69" s="136">
        <f>I69*$J$2</f>
        <v>1.14</v>
      </c>
      <c r="K69" s="136">
        <v>15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 t="shared" si="16"/>
        <v>35.8054444</v>
      </c>
    </row>
    <row r="70" spans="1:21" ht="15" outlineLevel="2">
      <c r="A70" s="6" t="s">
        <v>502</v>
      </c>
      <c r="B70" s="7" t="s">
        <v>3</v>
      </c>
      <c r="C70" s="42" t="s">
        <v>42</v>
      </c>
      <c r="D70" s="8" t="s">
        <v>503</v>
      </c>
      <c r="E70" s="42" t="s">
        <v>498</v>
      </c>
      <c r="F70" s="39" t="s">
        <v>53</v>
      </c>
      <c r="G70" s="24" t="s">
        <v>65</v>
      </c>
      <c r="H70" s="136">
        <v>0.6291599999999999</v>
      </c>
      <c r="I70" s="149">
        <v>12</v>
      </c>
      <c r="J70" s="136">
        <f>I70*$J$2</f>
        <v>0.72</v>
      </c>
      <c r="K70" s="136">
        <v>0</v>
      </c>
      <c r="L70" s="139"/>
      <c r="M70" s="139"/>
      <c r="N70" s="136"/>
      <c r="O70" s="11"/>
      <c r="P70" s="136"/>
      <c r="Q70" s="140"/>
      <c r="R70" s="136"/>
      <c r="S70" s="136"/>
      <c r="T70" s="136"/>
      <c r="U70" s="136">
        <f t="shared" si="16"/>
        <v>1.34916</v>
      </c>
    </row>
    <row r="71" spans="1:21" ht="15" outlineLevel="2">
      <c r="A71" s="6" t="s">
        <v>502</v>
      </c>
      <c r="B71" s="7" t="s">
        <v>3</v>
      </c>
      <c r="C71" s="42" t="s">
        <v>42</v>
      </c>
      <c r="D71" s="8" t="s">
        <v>503</v>
      </c>
      <c r="E71" s="42" t="s">
        <v>498</v>
      </c>
      <c r="F71" s="39" t="s">
        <v>53</v>
      </c>
      <c r="G71" s="24" t="s">
        <v>66</v>
      </c>
      <c r="H71" s="136">
        <v>4.2761908</v>
      </c>
      <c r="I71" s="149">
        <v>7</v>
      </c>
      <c r="J71" s="136">
        <f>I71*$J$2</f>
        <v>0.42</v>
      </c>
      <c r="K71" s="136">
        <v>15</v>
      </c>
      <c r="L71" s="139"/>
      <c r="M71" s="139"/>
      <c r="N71" s="136"/>
      <c r="O71" s="11"/>
      <c r="P71" s="136"/>
      <c r="Q71" s="140"/>
      <c r="R71" s="136"/>
      <c r="S71" s="136"/>
      <c r="T71" s="136"/>
      <c r="U71" s="136">
        <f t="shared" si="16"/>
        <v>19.6961908</v>
      </c>
    </row>
    <row r="72" spans="1:21" ht="15" outlineLevel="2">
      <c r="A72" s="6" t="s">
        <v>502</v>
      </c>
      <c r="B72" s="7" t="s">
        <v>3</v>
      </c>
      <c r="C72" s="42" t="s">
        <v>42</v>
      </c>
      <c r="D72" s="8" t="s">
        <v>503</v>
      </c>
      <c r="E72" s="42" t="s">
        <v>498</v>
      </c>
      <c r="F72" s="39" t="s">
        <v>53</v>
      </c>
      <c r="G72" s="24" t="s">
        <v>167</v>
      </c>
      <c r="H72" s="136">
        <v>139.41766159999997</v>
      </c>
      <c r="I72" s="149">
        <v>150</v>
      </c>
      <c r="J72" s="136">
        <f>I72*$J$2</f>
        <v>9</v>
      </c>
      <c r="K72" s="136">
        <v>0</v>
      </c>
      <c r="L72" s="139"/>
      <c r="M72" s="139"/>
      <c r="N72" s="136"/>
      <c r="O72" s="11"/>
      <c r="P72" s="136"/>
      <c r="Q72" s="140"/>
      <c r="R72" s="136"/>
      <c r="S72" s="136"/>
      <c r="T72" s="136"/>
      <c r="U72" s="136">
        <f t="shared" si="16"/>
        <v>148.41766159999997</v>
      </c>
    </row>
    <row r="73" spans="1:21" s="5" customFormat="1" ht="15.75" outlineLevel="1">
      <c r="A73" s="1" t="s">
        <v>875</v>
      </c>
      <c r="B73" s="49"/>
      <c r="C73" s="2"/>
      <c r="D73" s="61"/>
      <c r="E73" s="2"/>
      <c r="F73" s="47"/>
      <c r="G73" s="2"/>
      <c r="H73" s="137">
        <f aca="true" t="shared" si="17" ref="H73:U73">SUBTOTAL(9,H67:H72)</f>
        <v>5184.991447999999</v>
      </c>
      <c r="I73" s="144">
        <f t="shared" si="17"/>
        <v>13012</v>
      </c>
      <c r="J73" s="137">
        <f t="shared" si="17"/>
        <v>1293.4000000000003</v>
      </c>
      <c r="K73" s="137">
        <f t="shared" si="17"/>
        <v>75</v>
      </c>
      <c r="L73" s="141">
        <f t="shared" si="17"/>
        <v>0</v>
      </c>
      <c r="M73" s="141">
        <f t="shared" si="17"/>
        <v>0</v>
      </c>
      <c r="N73" s="137">
        <f t="shared" si="17"/>
        <v>0</v>
      </c>
      <c r="O73" s="45">
        <f t="shared" si="17"/>
        <v>0</v>
      </c>
      <c r="P73" s="137">
        <f t="shared" si="17"/>
        <v>0</v>
      </c>
      <c r="Q73" s="167">
        <f t="shared" si="17"/>
        <v>0</v>
      </c>
      <c r="R73" s="137">
        <f t="shared" si="17"/>
        <v>0</v>
      </c>
      <c r="S73" s="137">
        <f t="shared" si="17"/>
        <v>0</v>
      </c>
      <c r="T73" s="137">
        <f t="shared" si="17"/>
        <v>0</v>
      </c>
      <c r="U73" s="137">
        <f t="shared" si="17"/>
        <v>6553.3914479999985</v>
      </c>
    </row>
    <row r="74" spans="1:21" ht="15" outlineLevel="2">
      <c r="A74" s="6" t="s">
        <v>504</v>
      </c>
      <c r="B74" s="7" t="s">
        <v>3</v>
      </c>
      <c r="C74" s="42" t="s">
        <v>43</v>
      </c>
      <c r="D74" s="8" t="s">
        <v>505</v>
      </c>
      <c r="E74" s="42" t="s">
        <v>498</v>
      </c>
      <c r="F74" s="39" t="s">
        <v>53</v>
      </c>
      <c r="G74" s="11" t="s">
        <v>62</v>
      </c>
      <c r="H74" s="136">
        <v>2123.2545642000005</v>
      </c>
      <c r="I74" s="140">
        <v>5211</v>
      </c>
      <c r="J74" s="136">
        <f>I74*$J$1</f>
        <v>521.1</v>
      </c>
      <c r="K74" s="136">
        <v>75</v>
      </c>
      <c r="L74" s="139"/>
      <c r="M74" s="139"/>
      <c r="N74" s="136"/>
      <c r="O74" s="11"/>
      <c r="P74" s="136"/>
      <c r="Q74" s="140"/>
      <c r="R74" s="136"/>
      <c r="S74" s="136"/>
      <c r="T74" s="136"/>
      <c r="U74" s="136">
        <f aca="true" t="shared" si="18" ref="U74:U79">H74+J74+K74+N74+P74+R74+S74+T74</f>
        <v>2719.3545642000004</v>
      </c>
    </row>
    <row r="75" spans="1:21" ht="15" outlineLevel="2">
      <c r="A75" s="6" t="s">
        <v>504</v>
      </c>
      <c r="B75" s="7" t="s">
        <v>3</v>
      </c>
      <c r="C75" s="42" t="s">
        <v>43</v>
      </c>
      <c r="D75" s="8" t="s">
        <v>505</v>
      </c>
      <c r="E75" s="42" t="s">
        <v>498</v>
      </c>
      <c r="F75" s="39" t="s">
        <v>53</v>
      </c>
      <c r="G75" s="11" t="s">
        <v>63</v>
      </c>
      <c r="H75" s="136">
        <v>2.076228</v>
      </c>
      <c r="I75" s="140">
        <v>1</v>
      </c>
      <c r="J75" s="136">
        <f>I75*$J$2</f>
        <v>0.06</v>
      </c>
      <c r="K75" s="136">
        <v>0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t="shared" si="18"/>
        <v>2.136228</v>
      </c>
    </row>
    <row r="76" spans="1:21" ht="15" outlineLevel="2">
      <c r="A76" s="6" t="s">
        <v>504</v>
      </c>
      <c r="B76" s="7" t="s">
        <v>3</v>
      </c>
      <c r="C76" s="42" t="s">
        <v>43</v>
      </c>
      <c r="D76" s="8" t="s">
        <v>505</v>
      </c>
      <c r="E76" s="42" t="s">
        <v>498</v>
      </c>
      <c r="F76" s="39" t="s">
        <v>53</v>
      </c>
      <c r="G76" s="11" t="s">
        <v>64</v>
      </c>
      <c r="H76" s="136">
        <v>11.0008626</v>
      </c>
      <c r="I76" s="140">
        <v>10</v>
      </c>
      <c r="J76" s="136">
        <f>I76*$J$2</f>
        <v>0.6</v>
      </c>
      <c r="K76" s="136">
        <v>0</v>
      </c>
      <c r="L76" s="139"/>
      <c r="M76" s="139"/>
      <c r="N76" s="136"/>
      <c r="O76" s="11"/>
      <c r="P76" s="136"/>
      <c r="Q76" s="140"/>
      <c r="R76" s="136"/>
      <c r="S76" s="136"/>
      <c r="T76" s="136"/>
      <c r="U76" s="136">
        <f t="shared" si="18"/>
        <v>11.6008626</v>
      </c>
    </row>
    <row r="77" spans="1:21" ht="15" outlineLevel="2">
      <c r="A77" s="6" t="s">
        <v>504</v>
      </c>
      <c r="B77" s="7" t="s">
        <v>3</v>
      </c>
      <c r="C77" s="42" t="s">
        <v>43</v>
      </c>
      <c r="D77" s="8" t="s">
        <v>505</v>
      </c>
      <c r="E77" s="42" t="s">
        <v>498</v>
      </c>
      <c r="F77" s="39" t="s">
        <v>53</v>
      </c>
      <c r="G77" s="11" t="s">
        <v>65</v>
      </c>
      <c r="H77" s="136">
        <v>4.634812</v>
      </c>
      <c r="I77" s="140">
        <v>9</v>
      </c>
      <c r="J77" s="136">
        <f>I77*$J$2</f>
        <v>0.54</v>
      </c>
      <c r="K77" s="136">
        <v>0</v>
      </c>
      <c r="L77" s="139"/>
      <c r="M77" s="139"/>
      <c r="N77" s="136"/>
      <c r="O77" s="11"/>
      <c r="P77" s="136"/>
      <c r="Q77" s="140"/>
      <c r="R77" s="136"/>
      <c r="S77" s="136"/>
      <c r="T77" s="136"/>
      <c r="U77" s="136">
        <f t="shared" si="18"/>
        <v>5.174812</v>
      </c>
    </row>
    <row r="78" spans="1:21" ht="15" outlineLevel="2">
      <c r="A78" s="6" t="s">
        <v>504</v>
      </c>
      <c r="B78" s="7" t="s">
        <v>3</v>
      </c>
      <c r="C78" s="42" t="s">
        <v>43</v>
      </c>
      <c r="D78" s="8" t="s">
        <v>505</v>
      </c>
      <c r="E78" s="42" t="s">
        <v>498</v>
      </c>
      <c r="F78" s="39" t="s">
        <v>53</v>
      </c>
      <c r="G78" s="11" t="s">
        <v>66</v>
      </c>
      <c r="H78" s="136">
        <v>7.7606886</v>
      </c>
      <c r="I78" s="140">
        <v>8</v>
      </c>
      <c r="J78" s="136">
        <f>I78*$J$2</f>
        <v>0.48</v>
      </c>
      <c r="K78" s="136">
        <v>15</v>
      </c>
      <c r="L78" s="139"/>
      <c r="M78" s="139"/>
      <c r="N78" s="136"/>
      <c r="O78" s="11"/>
      <c r="P78" s="136"/>
      <c r="Q78" s="140"/>
      <c r="R78" s="136"/>
      <c r="S78" s="136"/>
      <c r="T78" s="136"/>
      <c r="U78" s="136">
        <f t="shared" si="18"/>
        <v>23.2406886</v>
      </c>
    </row>
    <row r="79" spans="1:21" ht="15" outlineLevel="2">
      <c r="A79" s="6" t="s">
        <v>504</v>
      </c>
      <c r="B79" s="7" t="s">
        <v>3</v>
      </c>
      <c r="C79" s="42" t="s">
        <v>43</v>
      </c>
      <c r="D79" s="8" t="s">
        <v>505</v>
      </c>
      <c r="E79" s="42" t="s">
        <v>498</v>
      </c>
      <c r="F79" s="39" t="s">
        <v>53</v>
      </c>
      <c r="G79" s="11" t="s">
        <v>167</v>
      </c>
      <c r="H79" s="136">
        <v>9.7897296</v>
      </c>
      <c r="I79" s="140">
        <v>12</v>
      </c>
      <c r="J79" s="136">
        <f>I79*$J$2</f>
        <v>0.72</v>
      </c>
      <c r="K79" s="136">
        <v>0</v>
      </c>
      <c r="L79" s="139"/>
      <c r="M79" s="139"/>
      <c r="N79" s="136"/>
      <c r="O79" s="11"/>
      <c r="P79" s="136"/>
      <c r="Q79" s="140"/>
      <c r="R79" s="136"/>
      <c r="S79" s="136"/>
      <c r="T79" s="136"/>
      <c r="U79" s="136">
        <f t="shared" si="18"/>
        <v>10.5097296</v>
      </c>
    </row>
    <row r="80" spans="1:21" s="5" customFormat="1" ht="15.75" outlineLevel="1">
      <c r="A80" s="1" t="s">
        <v>876</v>
      </c>
      <c r="B80" s="49"/>
      <c r="C80" s="2"/>
      <c r="D80" s="61"/>
      <c r="E80" s="2"/>
      <c r="F80" s="47"/>
      <c r="G80" s="2"/>
      <c r="H80" s="137">
        <f aca="true" t="shared" si="19" ref="H80:U80">SUBTOTAL(9,H74:H79)</f>
        <v>2158.516885</v>
      </c>
      <c r="I80" s="144">
        <f t="shared" si="19"/>
        <v>5251</v>
      </c>
      <c r="J80" s="137">
        <f t="shared" si="19"/>
        <v>523.5</v>
      </c>
      <c r="K80" s="137">
        <f t="shared" si="19"/>
        <v>90</v>
      </c>
      <c r="L80" s="141">
        <f t="shared" si="19"/>
        <v>0</v>
      </c>
      <c r="M80" s="141">
        <f t="shared" si="19"/>
        <v>0</v>
      </c>
      <c r="N80" s="137">
        <f t="shared" si="19"/>
        <v>0</v>
      </c>
      <c r="O80" s="45">
        <f t="shared" si="19"/>
        <v>0</v>
      </c>
      <c r="P80" s="137">
        <f t="shared" si="19"/>
        <v>0</v>
      </c>
      <c r="Q80" s="167">
        <f t="shared" si="19"/>
        <v>0</v>
      </c>
      <c r="R80" s="137">
        <f t="shared" si="19"/>
        <v>0</v>
      </c>
      <c r="S80" s="137">
        <f t="shared" si="19"/>
        <v>0</v>
      </c>
      <c r="T80" s="137">
        <f t="shared" si="19"/>
        <v>0</v>
      </c>
      <c r="U80" s="137">
        <f t="shared" si="19"/>
        <v>2772.016885</v>
      </c>
    </row>
    <row r="81" spans="1:21" ht="15" outlineLevel="2">
      <c r="A81" s="9" t="s">
        <v>26</v>
      </c>
      <c r="B81" s="25" t="s">
        <v>3</v>
      </c>
      <c r="C81" s="16" t="s">
        <v>604</v>
      </c>
      <c r="D81" s="13" t="s">
        <v>385</v>
      </c>
      <c r="E81" s="27" t="s">
        <v>378</v>
      </c>
      <c r="F81" s="20" t="s">
        <v>585</v>
      </c>
      <c r="G81" s="27" t="s">
        <v>585</v>
      </c>
      <c r="H81" s="136"/>
      <c r="I81" s="140"/>
      <c r="J81" s="136"/>
      <c r="K81" s="136"/>
      <c r="L81" s="139">
        <v>2</v>
      </c>
      <c r="M81" s="139">
        <v>0.63</v>
      </c>
      <c r="N81" s="136">
        <f>L81*M81*$N$2</f>
        <v>3950.1</v>
      </c>
      <c r="O81" s="11"/>
      <c r="P81" s="136"/>
      <c r="Q81" s="140"/>
      <c r="R81" s="136"/>
      <c r="S81" s="136"/>
      <c r="T81" s="136"/>
      <c r="U81" s="136">
        <f>H81+J81+K81+N81+P81+R81+S81+T81</f>
        <v>3950.1</v>
      </c>
    </row>
    <row r="82" spans="1:21" s="5" customFormat="1" ht="15.75" outlineLevel="1">
      <c r="A82" s="1" t="s">
        <v>877</v>
      </c>
      <c r="B82" s="49"/>
      <c r="C82" s="2"/>
      <c r="D82" s="61"/>
      <c r="E82" s="2"/>
      <c r="F82" s="47"/>
      <c r="G82" s="2"/>
      <c r="H82" s="137">
        <f aca="true" t="shared" si="20" ref="H82:U82">SUBTOTAL(9,H81:H81)</f>
        <v>0</v>
      </c>
      <c r="I82" s="144">
        <f t="shared" si="20"/>
        <v>0</v>
      </c>
      <c r="J82" s="137">
        <f t="shared" si="20"/>
        <v>0</v>
      </c>
      <c r="K82" s="137">
        <f t="shared" si="20"/>
        <v>0</v>
      </c>
      <c r="L82" s="141">
        <f t="shared" si="20"/>
        <v>2</v>
      </c>
      <c r="M82" s="141">
        <f t="shared" si="20"/>
        <v>0.63</v>
      </c>
      <c r="N82" s="137">
        <f t="shared" si="20"/>
        <v>3950.1</v>
      </c>
      <c r="O82" s="45">
        <f t="shared" si="20"/>
        <v>0</v>
      </c>
      <c r="P82" s="137">
        <f t="shared" si="20"/>
        <v>0</v>
      </c>
      <c r="Q82" s="167">
        <f t="shared" si="20"/>
        <v>0</v>
      </c>
      <c r="R82" s="137">
        <f t="shared" si="20"/>
        <v>0</v>
      </c>
      <c r="S82" s="137">
        <f t="shared" si="20"/>
        <v>0</v>
      </c>
      <c r="T82" s="137">
        <f t="shared" si="20"/>
        <v>0</v>
      </c>
      <c r="U82" s="137">
        <f t="shared" si="20"/>
        <v>3950.1</v>
      </c>
    </row>
    <row r="83" spans="1:21" ht="15" outlineLevel="2">
      <c r="A83" s="6" t="s">
        <v>529</v>
      </c>
      <c r="B83" s="7" t="s">
        <v>3</v>
      </c>
      <c r="C83" s="42" t="s">
        <v>38</v>
      </c>
      <c r="D83" s="8" t="s">
        <v>530</v>
      </c>
      <c r="E83" s="42" t="s">
        <v>531</v>
      </c>
      <c r="F83" s="39" t="s">
        <v>53</v>
      </c>
      <c r="G83" s="24" t="s">
        <v>62</v>
      </c>
      <c r="H83" s="136">
        <v>3105.2485407999984</v>
      </c>
      <c r="I83" s="149">
        <v>9124</v>
      </c>
      <c r="J83" s="136">
        <f>I83*$J$1</f>
        <v>912.4000000000001</v>
      </c>
      <c r="K83" s="136">
        <v>0</v>
      </c>
      <c r="L83" s="139"/>
      <c r="M83" s="139"/>
      <c r="N83" s="136"/>
      <c r="O83" s="11"/>
      <c r="P83" s="136"/>
      <c r="Q83" s="140"/>
      <c r="R83" s="136"/>
      <c r="S83" s="136"/>
      <c r="T83" s="136"/>
      <c r="U83" s="136">
        <f aca="true" t="shared" si="21" ref="U83:U92">H83+J83+K83+N83+P83+R83+S83+T83</f>
        <v>4017.6485407999985</v>
      </c>
    </row>
    <row r="84" spans="1:21" ht="15" outlineLevel="2">
      <c r="A84" s="6" t="s">
        <v>529</v>
      </c>
      <c r="B84" s="7" t="s">
        <v>3</v>
      </c>
      <c r="C84" s="42" t="s">
        <v>38</v>
      </c>
      <c r="D84" s="8" t="s">
        <v>530</v>
      </c>
      <c r="E84" s="42" t="s">
        <v>531</v>
      </c>
      <c r="F84" s="39" t="s">
        <v>53</v>
      </c>
      <c r="G84" s="24" t="s">
        <v>63</v>
      </c>
      <c r="H84" s="136">
        <v>418.71751459999996</v>
      </c>
      <c r="I84" s="149">
        <v>216</v>
      </c>
      <c r="J84" s="136">
        <f>I84*$J$2</f>
        <v>12.959999999999999</v>
      </c>
      <c r="K84" s="136">
        <v>0</v>
      </c>
      <c r="L84" s="139"/>
      <c r="M84" s="139"/>
      <c r="N84" s="136"/>
      <c r="O84" s="11"/>
      <c r="P84" s="136"/>
      <c r="Q84" s="140"/>
      <c r="R84" s="136"/>
      <c r="S84" s="136"/>
      <c r="T84" s="136"/>
      <c r="U84" s="136">
        <f t="shared" si="21"/>
        <v>431.67751459999994</v>
      </c>
    </row>
    <row r="85" spans="1:21" ht="15" outlineLevel="2">
      <c r="A85" s="6" t="s">
        <v>529</v>
      </c>
      <c r="B85" s="7" t="s">
        <v>3</v>
      </c>
      <c r="C85" s="42" t="s">
        <v>38</v>
      </c>
      <c r="D85" s="8" t="s">
        <v>530</v>
      </c>
      <c r="E85" s="42" t="s">
        <v>531</v>
      </c>
      <c r="F85" s="39" t="s">
        <v>53</v>
      </c>
      <c r="G85" s="24" t="s">
        <v>64</v>
      </c>
      <c r="H85" s="136">
        <v>352.6819295999999</v>
      </c>
      <c r="I85" s="149">
        <v>330</v>
      </c>
      <c r="J85" s="136">
        <f>I85*$J$2</f>
        <v>19.8</v>
      </c>
      <c r="K85" s="136">
        <v>0</v>
      </c>
      <c r="L85" s="139"/>
      <c r="M85" s="139"/>
      <c r="N85" s="136"/>
      <c r="O85" s="11"/>
      <c r="P85" s="136"/>
      <c r="Q85" s="140"/>
      <c r="R85" s="136"/>
      <c r="S85" s="136"/>
      <c r="T85" s="136"/>
      <c r="U85" s="136">
        <f t="shared" si="21"/>
        <v>372.4819295999999</v>
      </c>
    </row>
    <row r="86" spans="1:21" ht="15" outlineLevel="2">
      <c r="A86" s="6" t="s">
        <v>529</v>
      </c>
      <c r="B86" s="7" t="s">
        <v>3</v>
      </c>
      <c r="C86" s="42" t="s">
        <v>38</v>
      </c>
      <c r="D86" s="8" t="s">
        <v>530</v>
      </c>
      <c r="E86" s="42" t="s">
        <v>531</v>
      </c>
      <c r="F86" s="39" t="s">
        <v>53</v>
      </c>
      <c r="G86" s="24" t="s">
        <v>65</v>
      </c>
      <c r="H86" s="136">
        <v>15170.076276599995</v>
      </c>
      <c r="I86" s="149">
        <v>26211</v>
      </c>
      <c r="J86" s="136">
        <f>I86*$J$2</f>
        <v>1572.6599999999999</v>
      </c>
      <c r="K86" s="136">
        <v>90</v>
      </c>
      <c r="L86" s="139"/>
      <c r="M86" s="139"/>
      <c r="N86" s="136"/>
      <c r="O86" s="11"/>
      <c r="P86" s="136"/>
      <c r="Q86" s="140"/>
      <c r="R86" s="136"/>
      <c r="S86" s="136"/>
      <c r="T86" s="136"/>
      <c r="U86" s="136">
        <f t="shared" si="21"/>
        <v>16832.736276599993</v>
      </c>
    </row>
    <row r="87" spans="1:21" ht="15" outlineLevel="2">
      <c r="A87" s="6" t="s">
        <v>529</v>
      </c>
      <c r="B87" s="7" t="s">
        <v>3</v>
      </c>
      <c r="C87" s="42" t="s">
        <v>38</v>
      </c>
      <c r="D87" s="8" t="s">
        <v>530</v>
      </c>
      <c r="E87" s="42" t="s">
        <v>531</v>
      </c>
      <c r="F87" s="39" t="s">
        <v>53</v>
      </c>
      <c r="G87" s="24" t="s">
        <v>66</v>
      </c>
      <c r="H87" s="136">
        <v>81.1081614</v>
      </c>
      <c r="I87" s="149">
        <v>84</v>
      </c>
      <c r="J87" s="136">
        <f>I87*$J$2</f>
        <v>5.04</v>
      </c>
      <c r="K87" s="136">
        <v>30</v>
      </c>
      <c r="L87" s="139"/>
      <c r="M87" s="139"/>
      <c r="N87" s="136"/>
      <c r="O87" s="11"/>
      <c r="P87" s="136"/>
      <c r="Q87" s="140"/>
      <c r="R87" s="136"/>
      <c r="S87" s="136"/>
      <c r="T87" s="136"/>
      <c r="U87" s="136">
        <f t="shared" si="21"/>
        <v>116.1481614</v>
      </c>
    </row>
    <row r="88" spans="1:21" ht="15" outlineLevel="2">
      <c r="A88" s="6" t="s">
        <v>529</v>
      </c>
      <c r="B88" s="7" t="s">
        <v>3</v>
      </c>
      <c r="C88" s="42" t="s">
        <v>38</v>
      </c>
      <c r="D88" s="8" t="s">
        <v>530</v>
      </c>
      <c r="E88" s="42" t="s">
        <v>531</v>
      </c>
      <c r="F88" s="39" t="s">
        <v>53</v>
      </c>
      <c r="G88" s="24" t="s">
        <v>90</v>
      </c>
      <c r="H88" s="136">
        <v>125.758598</v>
      </c>
      <c r="I88" s="149">
        <v>460</v>
      </c>
      <c r="J88" s="136">
        <f>I88*$J$2</f>
        <v>27.599999999999998</v>
      </c>
      <c r="K88" s="136">
        <v>60</v>
      </c>
      <c r="L88" s="139"/>
      <c r="M88" s="139"/>
      <c r="N88" s="136"/>
      <c r="O88" s="11"/>
      <c r="P88" s="136"/>
      <c r="Q88" s="140"/>
      <c r="R88" s="136"/>
      <c r="S88" s="136"/>
      <c r="T88" s="136"/>
      <c r="U88" s="136">
        <f t="shared" si="21"/>
        <v>213.358598</v>
      </c>
    </row>
    <row r="89" spans="1:21" ht="15" outlineLevel="2">
      <c r="A89" s="6" t="str">
        <f>A88</f>
        <v>M900</v>
      </c>
      <c r="B89" s="7" t="s">
        <v>3</v>
      </c>
      <c r="C89" s="42" t="s">
        <v>38</v>
      </c>
      <c r="D89" s="13" t="str">
        <f aca="true" t="shared" si="22" ref="D89:E91">D88</f>
        <v>903200</v>
      </c>
      <c r="E89" s="24" t="str">
        <f t="shared" si="22"/>
        <v>91-30</v>
      </c>
      <c r="F89" s="39" t="s">
        <v>585</v>
      </c>
      <c r="G89" s="24" t="s">
        <v>585</v>
      </c>
      <c r="H89" s="136"/>
      <c r="I89" s="149"/>
      <c r="J89" s="136"/>
      <c r="K89" s="136"/>
      <c r="L89" s="139">
        <v>1</v>
      </c>
      <c r="M89" s="139">
        <v>1</v>
      </c>
      <c r="N89" s="136">
        <f>L89*M89*$N$2</f>
        <v>3135</v>
      </c>
      <c r="O89" s="11"/>
      <c r="P89" s="136"/>
      <c r="Q89" s="140"/>
      <c r="R89" s="136"/>
      <c r="S89" s="136"/>
      <c r="T89" s="136"/>
      <c r="U89" s="136">
        <f t="shared" si="21"/>
        <v>3135</v>
      </c>
    </row>
    <row r="90" spans="1:21" ht="15" outlineLevel="2">
      <c r="A90" s="28" t="s">
        <v>529</v>
      </c>
      <c r="B90" s="11" t="str">
        <f>B89</f>
        <v>DCS</v>
      </c>
      <c r="C90" s="11" t="str">
        <f>C89</f>
        <v>DCS-Animal Control-Shelter Op      1000</v>
      </c>
      <c r="D90" s="13" t="str">
        <f t="shared" si="22"/>
        <v>903200</v>
      </c>
      <c r="E90" s="38" t="str">
        <f t="shared" si="22"/>
        <v>91-30</v>
      </c>
      <c r="F90" s="20" t="s">
        <v>615</v>
      </c>
      <c r="G90" s="11" t="s">
        <v>615</v>
      </c>
      <c r="H90" s="136"/>
      <c r="I90" s="140"/>
      <c r="J90" s="136"/>
      <c r="K90" s="136"/>
      <c r="L90" s="139"/>
      <c r="M90" s="139"/>
      <c r="N90" s="136"/>
      <c r="O90" s="29">
        <f>4+1.75</f>
        <v>5.75</v>
      </c>
      <c r="P90" s="136">
        <f>O90*$P$2</f>
        <v>414</v>
      </c>
      <c r="Q90" s="140"/>
      <c r="R90" s="136"/>
      <c r="S90" s="136"/>
      <c r="T90" s="136"/>
      <c r="U90" s="136">
        <f t="shared" si="21"/>
        <v>414</v>
      </c>
    </row>
    <row r="91" spans="1:21" ht="15" outlineLevel="2">
      <c r="A91" s="36" t="s">
        <v>529</v>
      </c>
      <c r="B91" s="11" t="str">
        <f>B90</f>
        <v>DCS</v>
      </c>
      <c r="C91" s="11" t="str">
        <f>C90</f>
        <v>DCS-Animal Control-Shelter Op      1000</v>
      </c>
      <c r="D91" s="13" t="str">
        <f t="shared" si="22"/>
        <v>903200</v>
      </c>
      <c r="E91" s="27" t="str">
        <f t="shared" si="22"/>
        <v>91-30</v>
      </c>
      <c r="F91" s="20" t="s">
        <v>683</v>
      </c>
      <c r="G91" s="11" t="s">
        <v>683</v>
      </c>
      <c r="H91" s="136"/>
      <c r="I91" s="140"/>
      <c r="J91" s="136"/>
      <c r="K91" s="136"/>
      <c r="L91" s="139"/>
      <c r="M91" s="139"/>
      <c r="N91" s="136"/>
      <c r="O91" s="34"/>
      <c r="P91" s="136"/>
      <c r="Q91" s="140"/>
      <c r="R91" s="136"/>
      <c r="S91" s="136"/>
      <c r="T91" s="150">
        <f>4.14+8.4</f>
        <v>12.54</v>
      </c>
      <c r="U91" s="136">
        <f t="shared" si="21"/>
        <v>12.54</v>
      </c>
    </row>
    <row r="92" spans="1:21" ht="15" outlineLevel="2">
      <c r="A92" s="36" t="s">
        <v>529</v>
      </c>
      <c r="B92" s="11" t="str">
        <f>B90</f>
        <v>DCS</v>
      </c>
      <c r="C92" s="11" t="str">
        <f>C90</f>
        <v>DCS-Animal Control-Shelter Op      1000</v>
      </c>
      <c r="D92" s="13" t="str">
        <f>D90</f>
        <v>903200</v>
      </c>
      <c r="E92" s="27" t="str">
        <f>E90</f>
        <v>91-30</v>
      </c>
      <c r="F92" s="20" t="s">
        <v>53</v>
      </c>
      <c r="G92" s="11" t="s">
        <v>687</v>
      </c>
      <c r="H92" s="136"/>
      <c r="I92" s="140"/>
      <c r="J92" s="136"/>
      <c r="K92" s="136"/>
      <c r="L92" s="139"/>
      <c r="M92" s="139"/>
      <c r="N92" s="136"/>
      <c r="O92" s="34"/>
      <c r="P92" s="136"/>
      <c r="Q92" s="140"/>
      <c r="R92" s="136">
        <v>16030.95</v>
      </c>
      <c r="S92" s="136"/>
      <c r="T92" s="150"/>
      <c r="U92" s="136">
        <f t="shared" si="21"/>
        <v>16030.95</v>
      </c>
    </row>
    <row r="93" spans="1:21" s="5" customFormat="1" ht="15.75" outlineLevel="1">
      <c r="A93" s="1" t="s">
        <v>878</v>
      </c>
      <c r="B93" s="49"/>
      <c r="C93" s="2"/>
      <c r="D93" s="61"/>
      <c r="E93" s="2"/>
      <c r="F93" s="47"/>
      <c r="G93" s="2"/>
      <c r="H93" s="137">
        <f aca="true" t="shared" si="23" ref="H93:U93">SUBTOTAL(9,H83:H92)</f>
        <v>19253.591020999993</v>
      </c>
      <c r="I93" s="144">
        <f t="shared" si="23"/>
        <v>36425</v>
      </c>
      <c r="J93" s="137">
        <f t="shared" si="23"/>
        <v>2550.4599999999996</v>
      </c>
      <c r="K93" s="137">
        <f t="shared" si="23"/>
        <v>180</v>
      </c>
      <c r="L93" s="141">
        <f t="shared" si="23"/>
        <v>1</v>
      </c>
      <c r="M93" s="141">
        <f t="shared" si="23"/>
        <v>1</v>
      </c>
      <c r="N93" s="137">
        <f t="shared" si="23"/>
        <v>3135</v>
      </c>
      <c r="O93" s="45">
        <f t="shared" si="23"/>
        <v>5.75</v>
      </c>
      <c r="P93" s="137">
        <f t="shared" si="23"/>
        <v>414</v>
      </c>
      <c r="Q93" s="167">
        <f t="shared" si="23"/>
        <v>0</v>
      </c>
      <c r="R93" s="137">
        <f t="shared" si="23"/>
        <v>16030.95</v>
      </c>
      <c r="S93" s="137">
        <f t="shared" si="23"/>
        <v>0</v>
      </c>
      <c r="T93" s="137">
        <f t="shared" si="23"/>
        <v>12.54</v>
      </c>
      <c r="U93" s="137">
        <f t="shared" si="23"/>
        <v>41576.541021</v>
      </c>
    </row>
    <row r="94" spans="1:21" s="5" customFormat="1" ht="15.75" outlineLevel="1" collapsed="1">
      <c r="A94" s="1" t="s">
        <v>633</v>
      </c>
      <c r="B94" s="49"/>
      <c r="C94" s="2"/>
      <c r="D94" s="61"/>
      <c r="E94" s="2"/>
      <c r="F94" s="47"/>
      <c r="G94" s="2"/>
      <c r="H94" s="137">
        <f aca="true" t="shared" si="24" ref="H94:U94">SUBTOTAL(9,H4:H92)</f>
        <v>36909.3798892</v>
      </c>
      <c r="I94" s="144">
        <f t="shared" si="24"/>
        <v>72980</v>
      </c>
      <c r="J94" s="137">
        <f t="shared" si="24"/>
        <v>6007.16</v>
      </c>
      <c r="K94" s="137">
        <f t="shared" si="24"/>
        <v>1740</v>
      </c>
      <c r="L94" s="141">
        <f t="shared" si="24"/>
        <v>13</v>
      </c>
      <c r="M94" s="141">
        <f t="shared" si="24"/>
        <v>4.25</v>
      </c>
      <c r="N94" s="137">
        <f t="shared" si="24"/>
        <v>21945</v>
      </c>
      <c r="O94" s="45">
        <f t="shared" si="24"/>
        <v>7.25</v>
      </c>
      <c r="P94" s="137">
        <f t="shared" si="24"/>
        <v>522</v>
      </c>
      <c r="Q94" s="167">
        <f t="shared" si="24"/>
        <v>0</v>
      </c>
      <c r="R94" s="137">
        <f t="shared" si="24"/>
        <v>19388.96</v>
      </c>
      <c r="S94" s="137">
        <f t="shared" si="24"/>
        <v>0</v>
      </c>
      <c r="T94" s="137">
        <f t="shared" si="24"/>
        <v>109.26000000000002</v>
      </c>
      <c r="U94" s="137">
        <f t="shared" si="24"/>
        <v>86621.75988919997</v>
      </c>
    </row>
  </sheetData>
  <autoFilter ref="A3:U92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80" zoomScaleNormal="80" workbookViewId="0" topLeftCell="A1">
      <selection activeCell="D31" sqref="D31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6" t="s">
        <v>283</v>
      </c>
      <c r="B4" s="7" t="s">
        <v>716</v>
      </c>
      <c r="C4" s="42" t="s">
        <v>0</v>
      </c>
      <c r="D4" s="8" t="s">
        <v>284</v>
      </c>
      <c r="E4" s="42" t="s">
        <v>285</v>
      </c>
      <c r="F4" s="39" t="s">
        <v>53</v>
      </c>
      <c r="G4" s="24" t="s">
        <v>62</v>
      </c>
      <c r="H4" s="136">
        <v>0.9814896000000001</v>
      </c>
      <c r="I4" s="149">
        <v>3</v>
      </c>
      <c r="J4" s="136">
        <f>I4*$J$1</f>
        <v>0.30000000000000004</v>
      </c>
      <c r="K4" s="136">
        <v>0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3">H4+J4+K4+N4+P4+R4+S4+T4</f>
        <v>1.2814896</v>
      </c>
    </row>
    <row r="5" spans="1:21" ht="15" outlineLevel="2">
      <c r="A5" s="6" t="s">
        <v>283</v>
      </c>
      <c r="B5" s="7" t="s">
        <v>716</v>
      </c>
      <c r="C5" s="42" t="s">
        <v>0</v>
      </c>
      <c r="D5" s="8" t="s">
        <v>284</v>
      </c>
      <c r="E5" s="42" t="s">
        <v>285</v>
      </c>
      <c r="F5" s="39" t="s">
        <v>53</v>
      </c>
      <c r="G5" s="24" t="s">
        <v>63</v>
      </c>
      <c r="H5" s="136">
        <v>7.612836</v>
      </c>
      <c r="I5" s="149">
        <v>2</v>
      </c>
      <c r="J5" s="136">
        <f aca="true" t="shared" si="1" ref="J5:J11">I5*$J$2</f>
        <v>0.12</v>
      </c>
      <c r="K5" s="136">
        <v>0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7.732836</v>
      </c>
    </row>
    <row r="6" spans="1:21" ht="15" outlineLevel="2">
      <c r="A6" s="6" t="s">
        <v>283</v>
      </c>
      <c r="B6" s="7" t="s">
        <v>716</v>
      </c>
      <c r="C6" s="42" t="s">
        <v>0</v>
      </c>
      <c r="D6" s="8" t="s">
        <v>284</v>
      </c>
      <c r="E6" s="42" t="s">
        <v>285</v>
      </c>
      <c r="F6" s="39" t="s">
        <v>53</v>
      </c>
      <c r="G6" s="24" t="s">
        <v>64</v>
      </c>
      <c r="H6" s="136">
        <v>1.226862</v>
      </c>
      <c r="I6" s="149">
        <v>1</v>
      </c>
      <c r="J6" s="136">
        <f t="shared" si="1"/>
        <v>0.06</v>
      </c>
      <c r="K6" s="136">
        <v>15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16.286862</v>
      </c>
    </row>
    <row r="7" spans="1:21" ht="15" outlineLevel="2">
      <c r="A7" s="6" t="s">
        <v>283</v>
      </c>
      <c r="B7" s="7" t="s">
        <v>716</v>
      </c>
      <c r="C7" s="42" t="s">
        <v>0</v>
      </c>
      <c r="D7" s="8" t="s">
        <v>284</v>
      </c>
      <c r="E7" s="42" t="s">
        <v>285</v>
      </c>
      <c r="F7" s="39" t="s">
        <v>53</v>
      </c>
      <c r="G7" s="11" t="s">
        <v>65</v>
      </c>
      <c r="H7" s="136">
        <v>4.7291859999999994</v>
      </c>
      <c r="I7" s="140">
        <v>11</v>
      </c>
      <c r="J7" s="136">
        <f t="shared" si="1"/>
        <v>0.6599999999999999</v>
      </c>
      <c r="K7" s="136">
        <v>0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5.389186</v>
      </c>
    </row>
    <row r="8" spans="1:21" ht="15" outlineLevel="2">
      <c r="A8" s="6" t="s">
        <v>283</v>
      </c>
      <c r="B8" s="7" t="s">
        <v>716</v>
      </c>
      <c r="C8" s="42" t="s">
        <v>0</v>
      </c>
      <c r="D8" s="8" t="s">
        <v>284</v>
      </c>
      <c r="E8" s="42" t="s">
        <v>285</v>
      </c>
      <c r="F8" s="39" t="s">
        <v>53</v>
      </c>
      <c r="G8" s="11" t="s">
        <v>286</v>
      </c>
      <c r="H8" s="136">
        <v>9.196221999999999</v>
      </c>
      <c r="I8" s="140">
        <v>3</v>
      </c>
      <c r="J8" s="136">
        <f t="shared" si="1"/>
        <v>0.18</v>
      </c>
      <c r="K8" s="136">
        <v>0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9.376221999999999</v>
      </c>
    </row>
    <row r="9" spans="1:21" ht="15" outlineLevel="2">
      <c r="A9" s="6" t="s">
        <v>283</v>
      </c>
      <c r="B9" s="7" t="s">
        <v>716</v>
      </c>
      <c r="C9" s="42" t="s">
        <v>0</v>
      </c>
      <c r="D9" s="8" t="s">
        <v>284</v>
      </c>
      <c r="E9" s="42" t="s">
        <v>285</v>
      </c>
      <c r="F9" s="39" t="s">
        <v>53</v>
      </c>
      <c r="G9" s="24" t="s">
        <v>104</v>
      </c>
      <c r="H9" s="136">
        <v>248.81180799999998</v>
      </c>
      <c r="I9" s="149">
        <v>89</v>
      </c>
      <c r="J9" s="136">
        <f t="shared" si="1"/>
        <v>5.34</v>
      </c>
      <c r="K9" s="136">
        <v>120</v>
      </c>
      <c r="L9" s="139"/>
      <c r="M9" s="139"/>
      <c r="N9" s="136"/>
      <c r="O9" s="11"/>
      <c r="P9" s="136"/>
      <c r="Q9" s="140"/>
      <c r="R9" s="136"/>
      <c r="S9" s="136"/>
      <c r="T9" s="136"/>
      <c r="U9" s="136">
        <f t="shared" si="0"/>
        <v>374.15180799999996</v>
      </c>
    </row>
    <row r="10" spans="1:21" ht="15" outlineLevel="2">
      <c r="A10" s="6" t="s">
        <v>283</v>
      </c>
      <c r="B10" s="7" t="s">
        <v>716</v>
      </c>
      <c r="C10" s="42" t="s">
        <v>0</v>
      </c>
      <c r="D10" s="8" t="s">
        <v>284</v>
      </c>
      <c r="E10" s="42" t="s">
        <v>285</v>
      </c>
      <c r="F10" s="39" t="s">
        <v>53</v>
      </c>
      <c r="G10" s="11" t="s">
        <v>287</v>
      </c>
      <c r="H10" s="136">
        <v>5.914103999999999</v>
      </c>
      <c r="I10" s="140">
        <v>2</v>
      </c>
      <c r="J10" s="136">
        <f t="shared" si="1"/>
        <v>0.12</v>
      </c>
      <c r="K10" s="136">
        <v>0</v>
      </c>
      <c r="L10" s="139"/>
      <c r="M10" s="139"/>
      <c r="N10" s="136"/>
      <c r="O10" s="11"/>
      <c r="P10" s="136"/>
      <c r="Q10" s="140"/>
      <c r="R10" s="136"/>
      <c r="S10" s="136"/>
      <c r="T10" s="136"/>
      <c r="U10" s="136">
        <f t="shared" si="0"/>
        <v>6.034103999999999</v>
      </c>
    </row>
    <row r="11" spans="1:21" ht="15" outlineLevel="2">
      <c r="A11" s="6" t="s">
        <v>283</v>
      </c>
      <c r="B11" s="7" t="s">
        <v>716</v>
      </c>
      <c r="C11" s="42" t="s">
        <v>0</v>
      </c>
      <c r="D11" s="8" t="s">
        <v>284</v>
      </c>
      <c r="E11" s="42" t="s">
        <v>285</v>
      </c>
      <c r="F11" s="39" t="s">
        <v>53</v>
      </c>
      <c r="G11" s="24" t="s">
        <v>90</v>
      </c>
      <c r="H11" s="136">
        <v>0.272636</v>
      </c>
      <c r="I11" s="149">
        <v>1</v>
      </c>
      <c r="J11" s="136">
        <f t="shared" si="1"/>
        <v>0.06</v>
      </c>
      <c r="K11" s="136">
        <v>0</v>
      </c>
      <c r="L11" s="139"/>
      <c r="M11" s="139"/>
      <c r="N11" s="136"/>
      <c r="O11" s="11"/>
      <c r="P11" s="136"/>
      <c r="Q11" s="140"/>
      <c r="R11" s="136"/>
      <c r="S11" s="136"/>
      <c r="T11" s="136"/>
      <c r="U11" s="136">
        <f t="shared" si="0"/>
        <v>0.332636</v>
      </c>
    </row>
    <row r="12" spans="1:21" ht="15" outlineLevel="2">
      <c r="A12" s="6" t="str">
        <f>A11</f>
        <v>M317</v>
      </c>
      <c r="B12" s="11" t="s">
        <v>716</v>
      </c>
      <c r="C12" s="42" t="s">
        <v>0</v>
      </c>
      <c r="D12" s="13" t="str">
        <f>D11</f>
        <v>803410</v>
      </c>
      <c r="E12" s="24" t="str">
        <f>E11</f>
        <v>80-30</v>
      </c>
      <c r="F12" s="39" t="s">
        <v>585</v>
      </c>
      <c r="G12" s="24" t="s">
        <v>585</v>
      </c>
      <c r="H12" s="136"/>
      <c r="I12" s="149"/>
      <c r="J12" s="136"/>
      <c r="K12" s="136"/>
      <c r="L12" s="139">
        <v>2</v>
      </c>
      <c r="M12" s="139">
        <v>1</v>
      </c>
      <c r="N12" s="136">
        <f>L12*M12*$N$2</f>
        <v>6270</v>
      </c>
      <c r="O12" s="11"/>
      <c r="P12" s="136"/>
      <c r="Q12" s="140"/>
      <c r="R12" s="136"/>
      <c r="S12" s="136"/>
      <c r="T12" s="136"/>
      <c r="U12" s="136">
        <f t="shared" si="0"/>
        <v>6270</v>
      </c>
    </row>
    <row r="13" spans="1:21" ht="15" outlineLevel="2">
      <c r="A13" s="28" t="s">
        <v>283</v>
      </c>
      <c r="B13" s="11" t="str">
        <f>B12</f>
        <v>LIB</v>
      </c>
      <c r="C13" s="11" t="str">
        <f>C12</f>
        <v>Library-Finance Mgmt &amp; Admin Support</v>
      </c>
      <c r="D13" s="13" t="str">
        <f>D12</f>
        <v>803410</v>
      </c>
      <c r="E13" s="38" t="str">
        <f>E12</f>
        <v>80-30</v>
      </c>
      <c r="F13" s="20" t="s">
        <v>615</v>
      </c>
      <c r="G13" s="11" t="s">
        <v>615</v>
      </c>
      <c r="H13" s="136"/>
      <c r="I13" s="140"/>
      <c r="J13" s="136"/>
      <c r="K13" s="136"/>
      <c r="L13" s="139"/>
      <c r="M13" s="139"/>
      <c r="N13" s="136"/>
      <c r="O13" s="29">
        <f>9.5+11.75</f>
        <v>21.25</v>
      </c>
      <c r="P13" s="136">
        <f>O13*$P$2</f>
        <v>1530</v>
      </c>
      <c r="Q13" s="140"/>
      <c r="R13" s="136"/>
      <c r="S13" s="136"/>
      <c r="T13" s="136"/>
      <c r="U13" s="136">
        <f t="shared" si="0"/>
        <v>1530</v>
      </c>
    </row>
    <row r="14" spans="1:21" s="5" customFormat="1" ht="15.75">
      <c r="A14" s="64" t="s">
        <v>633</v>
      </c>
      <c r="B14" s="45"/>
      <c r="C14" s="45"/>
      <c r="D14" s="61"/>
      <c r="E14" s="52"/>
      <c r="F14" s="51"/>
      <c r="G14" s="45"/>
      <c r="H14" s="137">
        <f aca="true" t="shared" si="2" ref="H14:U14">SUBTOTAL(9,H4:H13)</f>
        <v>278.74514359999995</v>
      </c>
      <c r="I14" s="167">
        <f t="shared" si="2"/>
        <v>112</v>
      </c>
      <c r="J14" s="137">
        <f t="shared" si="2"/>
        <v>6.84</v>
      </c>
      <c r="K14" s="137">
        <f t="shared" si="2"/>
        <v>135</v>
      </c>
      <c r="L14" s="141">
        <f t="shared" si="2"/>
        <v>2</v>
      </c>
      <c r="M14" s="141">
        <f t="shared" si="2"/>
        <v>1</v>
      </c>
      <c r="N14" s="137">
        <f t="shared" si="2"/>
        <v>6270</v>
      </c>
      <c r="O14" s="65">
        <f t="shared" si="2"/>
        <v>21.25</v>
      </c>
      <c r="P14" s="137">
        <f t="shared" si="2"/>
        <v>1530</v>
      </c>
      <c r="Q14" s="167">
        <f t="shared" si="2"/>
        <v>0</v>
      </c>
      <c r="R14" s="137">
        <f t="shared" si="2"/>
        <v>0</v>
      </c>
      <c r="S14" s="137">
        <f t="shared" si="2"/>
        <v>0</v>
      </c>
      <c r="T14" s="137">
        <f t="shared" si="2"/>
        <v>0</v>
      </c>
      <c r="U14" s="137">
        <f t="shared" si="2"/>
        <v>8220.585143600001</v>
      </c>
    </row>
  </sheetData>
  <autoFilter ref="A3:U13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8"/>
  <sheetViews>
    <sheetView zoomScale="80" zoomScaleNormal="80" workbookViewId="0" topLeftCell="K387">
      <selection activeCell="A1468" sqref="A1468:IV1468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9" t="s">
        <v>4</v>
      </c>
      <c r="B4" s="25" t="s">
        <v>73</v>
      </c>
      <c r="C4" s="24" t="s">
        <v>74</v>
      </c>
      <c r="D4" s="26">
        <v>408300</v>
      </c>
      <c r="E4" s="27" t="s">
        <v>139</v>
      </c>
      <c r="F4" s="20" t="s">
        <v>585</v>
      </c>
      <c r="G4" s="24" t="s">
        <v>585</v>
      </c>
      <c r="H4" s="136"/>
      <c r="I4" s="149"/>
      <c r="J4" s="136"/>
      <c r="K4" s="136"/>
      <c r="L4" s="139">
        <v>2</v>
      </c>
      <c r="M4" s="139">
        <v>1</v>
      </c>
      <c r="N4" s="136">
        <f>L4*M4*$N$2</f>
        <v>6270</v>
      </c>
      <c r="O4" s="11"/>
      <c r="P4" s="136"/>
      <c r="Q4" s="140"/>
      <c r="R4" s="136"/>
      <c r="S4" s="136"/>
      <c r="T4" s="136"/>
      <c r="U4" s="136">
        <f>H4+J4+K4+N4+P4+R4+S4+T4</f>
        <v>6270</v>
      </c>
    </row>
    <row r="5" spans="1:21" s="5" customFormat="1" ht="15.75" outlineLevel="1">
      <c r="A5" s="1" t="s">
        <v>879</v>
      </c>
      <c r="B5" s="172"/>
      <c r="C5" s="2"/>
      <c r="D5" s="19"/>
      <c r="E5" s="44"/>
      <c r="F5" s="51"/>
      <c r="G5" s="2"/>
      <c r="H5" s="137">
        <f aca="true" t="shared" si="0" ref="H5:U5">SUBTOTAL(9,H4:H4)</f>
        <v>0</v>
      </c>
      <c r="I5" s="144">
        <f t="shared" si="0"/>
        <v>0</v>
      </c>
      <c r="J5" s="137">
        <f t="shared" si="0"/>
        <v>0</v>
      </c>
      <c r="K5" s="137">
        <f t="shared" si="0"/>
        <v>0</v>
      </c>
      <c r="L5" s="141">
        <f t="shared" si="0"/>
        <v>2</v>
      </c>
      <c r="M5" s="141">
        <f t="shared" si="0"/>
        <v>1</v>
      </c>
      <c r="N5" s="137">
        <f t="shared" si="0"/>
        <v>6270</v>
      </c>
      <c r="O5" s="45">
        <f t="shared" si="0"/>
        <v>0</v>
      </c>
      <c r="P5" s="137">
        <f t="shared" si="0"/>
        <v>0</v>
      </c>
      <c r="Q5" s="167">
        <f t="shared" si="0"/>
        <v>0</v>
      </c>
      <c r="R5" s="137">
        <f t="shared" si="0"/>
        <v>0</v>
      </c>
      <c r="S5" s="137">
        <f t="shared" si="0"/>
        <v>0</v>
      </c>
      <c r="T5" s="137">
        <f t="shared" si="0"/>
        <v>0</v>
      </c>
      <c r="U5" s="137">
        <f t="shared" si="0"/>
        <v>6270</v>
      </c>
    </row>
    <row r="6" spans="1:21" ht="15" outlineLevel="2">
      <c r="A6" s="6" t="s">
        <v>67</v>
      </c>
      <c r="B6" s="7" t="s">
        <v>68</v>
      </c>
      <c r="C6" s="7" t="s">
        <v>69</v>
      </c>
      <c r="D6" s="8" t="s">
        <v>70</v>
      </c>
      <c r="E6" s="38" t="s">
        <v>71</v>
      </c>
      <c r="F6" s="39" t="s">
        <v>53</v>
      </c>
      <c r="G6" s="24" t="s">
        <v>62</v>
      </c>
      <c r="H6" s="136">
        <v>81.8285496</v>
      </c>
      <c r="I6" s="149">
        <v>249</v>
      </c>
      <c r="J6" s="136">
        <f>I6*$J$1</f>
        <v>24.900000000000002</v>
      </c>
      <c r="K6" s="136">
        <v>75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aca="true" t="shared" si="1" ref="U6:U14">H6+J6+K6+N6+P6+R6+S6+T6</f>
        <v>181.7285496</v>
      </c>
    </row>
    <row r="7" spans="1:21" ht="15" outlineLevel="2">
      <c r="A7" s="6" t="s">
        <v>67</v>
      </c>
      <c r="B7" s="7" t="s">
        <v>68</v>
      </c>
      <c r="C7" s="7" t="s">
        <v>69</v>
      </c>
      <c r="D7" s="8" t="s">
        <v>70</v>
      </c>
      <c r="E7" s="38" t="s">
        <v>71</v>
      </c>
      <c r="F7" s="39" t="s">
        <v>53</v>
      </c>
      <c r="G7" s="24" t="s">
        <v>63</v>
      </c>
      <c r="H7" s="136">
        <v>201.886958</v>
      </c>
      <c r="I7" s="149">
        <v>46</v>
      </c>
      <c r="J7" s="136">
        <f>I7*$J$2</f>
        <v>2.76</v>
      </c>
      <c r="K7" s="136">
        <v>0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1"/>
        <v>204.64695799999998</v>
      </c>
    </row>
    <row r="8" spans="1:21" ht="15" outlineLevel="2">
      <c r="A8" s="6" t="s">
        <v>67</v>
      </c>
      <c r="B8" s="7" t="s">
        <v>68</v>
      </c>
      <c r="C8" s="7" t="s">
        <v>69</v>
      </c>
      <c r="D8" s="8" t="s">
        <v>70</v>
      </c>
      <c r="E8" s="38" t="s">
        <v>71</v>
      </c>
      <c r="F8" s="39" t="s">
        <v>53</v>
      </c>
      <c r="G8" s="24" t="s">
        <v>64</v>
      </c>
      <c r="H8" s="136">
        <v>70.6819316</v>
      </c>
      <c r="I8" s="149">
        <v>71</v>
      </c>
      <c r="J8" s="136">
        <f>I8*$J$2</f>
        <v>4.26</v>
      </c>
      <c r="K8" s="136">
        <v>45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1"/>
        <v>119.9419316</v>
      </c>
    </row>
    <row r="9" spans="1:21" ht="15" outlineLevel="2">
      <c r="A9" s="6" t="s">
        <v>67</v>
      </c>
      <c r="B9" s="7" t="s">
        <v>68</v>
      </c>
      <c r="C9" s="7" t="s">
        <v>69</v>
      </c>
      <c r="D9" s="8" t="s">
        <v>70</v>
      </c>
      <c r="E9" s="38" t="s">
        <v>71</v>
      </c>
      <c r="F9" s="39" t="s">
        <v>53</v>
      </c>
      <c r="G9" s="24" t="s">
        <v>65</v>
      </c>
      <c r="H9" s="136">
        <v>50.248912</v>
      </c>
      <c r="I9" s="149">
        <v>109</v>
      </c>
      <c r="J9" s="136">
        <f>I9*$J$2</f>
        <v>6.54</v>
      </c>
      <c r="K9" s="136">
        <v>30</v>
      </c>
      <c r="L9" s="139"/>
      <c r="M9" s="139"/>
      <c r="N9" s="136"/>
      <c r="O9" s="11"/>
      <c r="P9" s="136"/>
      <c r="Q9" s="140"/>
      <c r="R9" s="136"/>
      <c r="S9" s="136"/>
      <c r="T9" s="136"/>
      <c r="U9" s="136">
        <f t="shared" si="1"/>
        <v>86.788912</v>
      </c>
    </row>
    <row r="10" spans="1:21" ht="15" outlineLevel="2">
      <c r="A10" s="6" t="s">
        <v>67</v>
      </c>
      <c r="B10" s="7" t="s">
        <v>68</v>
      </c>
      <c r="C10" s="7" t="s">
        <v>69</v>
      </c>
      <c r="D10" s="8" t="s">
        <v>70</v>
      </c>
      <c r="E10" s="38" t="s">
        <v>71</v>
      </c>
      <c r="F10" s="39" t="s">
        <v>53</v>
      </c>
      <c r="G10" s="24" t="s">
        <v>66</v>
      </c>
      <c r="H10" s="136">
        <v>43.186591</v>
      </c>
      <c r="I10" s="149">
        <v>40</v>
      </c>
      <c r="J10" s="136">
        <f>I10*$J$2</f>
        <v>2.4</v>
      </c>
      <c r="K10" s="136">
        <v>30</v>
      </c>
      <c r="L10" s="139"/>
      <c r="M10" s="139"/>
      <c r="N10" s="136"/>
      <c r="O10" s="11"/>
      <c r="P10" s="136"/>
      <c r="Q10" s="140"/>
      <c r="R10" s="136"/>
      <c r="S10" s="136"/>
      <c r="T10" s="136"/>
      <c r="U10" s="136">
        <f t="shared" si="1"/>
        <v>75.586591</v>
      </c>
    </row>
    <row r="11" spans="1:21" ht="15" outlineLevel="2">
      <c r="A11" s="6" t="s">
        <v>67</v>
      </c>
      <c r="B11" s="7" t="s">
        <v>68</v>
      </c>
      <c r="C11" s="7" t="s">
        <v>69</v>
      </c>
      <c r="D11" s="8">
        <v>400001</v>
      </c>
      <c r="E11" s="38" t="s">
        <v>71</v>
      </c>
      <c r="F11" s="39" t="s">
        <v>585</v>
      </c>
      <c r="G11" s="16" t="s">
        <v>592</v>
      </c>
      <c r="H11" s="136"/>
      <c r="I11" s="149"/>
      <c r="J11" s="136"/>
      <c r="K11" s="136"/>
      <c r="L11" s="139">
        <v>2</v>
      </c>
      <c r="M11" s="139">
        <v>0.15</v>
      </c>
      <c r="N11" s="136">
        <f>L11*M11*$N$2</f>
        <v>940.5</v>
      </c>
      <c r="O11" s="11"/>
      <c r="P11" s="136"/>
      <c r="Q11" s="140"/>
      <c r="R11" s="136"/>
      <c r="S11" s="136"/>
      <c r="T11" s="136"/>
      <c r="U11" s="136">
        <f t="shared" si="1"/>
        <v>940.5</v>
      </c>
    </row>
    <row r="12" spans="1:21" ht="15" outlineLevel="2">
      <c r="A12" s="6" t="s">
        <v>67</v>
      </c>
      <c r="B12" s="7" t="s">
        <v>68</v>
      </c>
      <c r="C12" s="7" t="s">
        <v>69</v>
      </c>
      <c r="D12" s="8">
        <v>400001</v>
      </c>
      <c r="E12" s="38" t="s">
        <v>71</v>
      </c>
      <c r="F12" s="39" t="s">
        <v>615</v>
      </c>
      <c r="G12" s="16" t="s">
        <v>615</v>
      </c>
      <c r="H12" s="136"/>
      <c r="I12" s="149"/>
      <c r="J12" s="136"/>
      <c r="K12" s="136"/>
      <c r="L12" s="139"/>
      <c r="M12" s="139"/>
      <c r="N12" s="136"/>
      <c r="O12" s="34">
        <v>0.25</v>
      </c>
      <c r="P12" s="136">
        <f>O12*$P$2</f>
        <v>18</v>
      </c>
      <c r="Q12" s="140"/>
      <c r="R12" s="136"/>
      <c r="S12" s="136"/>
      <c r="T12" s="136"/>
      <c r="U12" s="136">
        <f t="shared" si="1"/>
        <v>18</v>
      </c>
    </row>
    <row r="13" spans="1:21" ht="15" outlineLevel="2">
      <c r="A13" s="36" t="s">
        <v>635</v>
      </c>
      <c r="B13" s="11" t="str">
        <f>B12</f>
        <v>DOH</v>
      </c>
      <c r="C13" s="11" t="str">
        <f>C12</f>
        <v>HEALTH-DIRECTOR</v>
      </c>
      <c r="D13" s="13">
        <f>D12</f>
        <v>400001</v>
      </c>
      <c r="E13" s="27" t="str">
        <f>E12</f>
        <v>40-00</v>
      </c>
      <c r="F13" s="20" t="s">
        <v>683</v>
      </c>
      <c r="G13" s="11" t="s">
        <v>683</v>
      </c>
      <c r="H13" s="136"/>
      <c r="I13" s="140"/>
      <c r="J13" s="136"/>
      <c r="K13" s="136"/>
      <c r="L13" s="139"/>
      <c r="M13" s="139"/>
      <c r="N13" s="136"/>
      <c r="O13" s="34"/>
      <c r="P13" s="136"/>
      <c r="Q13" s="140"/>
      <c r="R13" s="136"/>
      <c r="S13" s="136"/>
      <c r="T13" s="150">
        <v>16.45</v>
      </c>
      <c r="U13" s="136">
        <f t="shared" si="1"/>
        <v>16.45</v>
      </c>
    </row>
    <row r="14" spans="1:21" ht="15" outlineLevel="2">
      <c r="A14" s="36" t="s">
        <v>635</v>
      </c>
      <c r="B14" s="11" t="str">
        <f>B12</f>
        <v>DOH</v>
      </c>
      <c r="C14" s="11" t="str">
        <f>C12</f>
        <v>HEALTH-DIRECTOR</v>
      </c>
      <c r="D14" s="13">
        <f>D12</f>
        <v>400001</v>
      </c>
      <c r="E14" s="27" t="str">
        <f>E12</f>
        <v>40-00</v>
      </c>
      <c r="F14" s="20" t="s">
        <v>584</v>
      </c>
      <c r="G14" s="11" t="s">
        <v>584</v>
      </c>
      <c r="H14" s="136"/>
      <c r="I14" s="140"/>
      <c r="J14" s="136"/>
      <c r="K14" s="136"/>
      <c r="L14" s="139"/>
      <c r="M14" s="139"/>
      <c r="N14" s="136"/>
      <c r="O14" s="34"/>
      <c r="P14" s="136"/>
      <c r="Q14" s="140">
        <v>5165</v>
      </c>
      <c r="R14" s="136">
        <f>1874.48+135.67</f>
        <v>2010.15</v>
      </c>
      <c r="S14" s="136">
        <f>Q14*$S$2</f>
        <v>51.65</v>
      </c>
      <c r="T14" s="150"/>
      <c r="U14" s="136">
        <f t="shared" si="1"/>
        <v>2061.8</v>
      </c>
    </row>
    <row r="15" spans="1:21" s="5" customFormat="1" ht="15.75" outlineLevel="1">
      <c r="A15" s="1" t="s">
        <v>880</v>
      </c>
      <c r="B15" s="172"/>
      <c r="C15" s="2"/>
      <c r="D15" s="19"/>
      <c r="E15" s="44"/>
      <c r="F15" s="51"/>
      <c r="G15" s="2"/>
      <c r="H15" s="137">
        <f aca="true" t="shared" si="2" ref="H15:U15">SUBTOTAL(9,H6:H14)</f>
        <v>447.83294220000005</v>
      </c>
      <c r="I15" s="144">
        <f t="shared" si="2"/>
        <v>515</v>
      </c>
      <c r="J15" s="137">
        <f t="shared" si="2"/>
        <v>40.86</v>
      </c>
      <c r="K15" s="137">
        <f t="shared" si="2"/>
        <v>180</v>
      </c>
      <c r="L15" s="141">
        <f t="shared" si="2"/>
        <v>2</v>
      </c>
      <c r="M15" s="141">
        <f t="shared" si="2"/>
        <v>0.15</v>
      </c>
      <c r="N15" s="137">
        <f t="shared" si="2"/>
        <v>940.5</v>
      </c>
      <c r="O15" s="45">
        <f t="shared" si="2"/>
        <v>0.25</v>
      </c>
      <c r="P15" s="137">
        <f t="shared" si="2"/>
        <v>18</v>
      </c>
      <c r="Q15" s="167">
        <f t="shared" si="2"/>
        <v>5165</v>
      </c>
      <c r="R15" s="137">
        <f t="shared" si="2"/>
        <v>2010.15</v>
      </c>
      <c r="S15" s="137">
        <f t="shared" si="2"/>
        <v>51.65</v>
      </c>
      <c r="T15" s="137">
        <f t="shared" si="2"/>
        <v>16.45</v>
      </c>
      <c r="U15" s="137">
        <f t="shared" si="2"/>
        <v>3705.4429422000003</v>
      </c>
    </row>
    <row r="16" spans="1:21" ht="15" outlineLevel="2">
      <c r="A16" s="6" t="s">
        <v>72</v>
      </c>
      <c r="B16" s="7" t="s">
        <v>73</v>
      </c>
      <c r="C16" s="7" t="s">
        <v>74</v>
      </c>
      <c r="D16" s="8" t="s">
        <v>75</v>
      </c>
      <c r="E16" s="42" t="s">
        <v>76</v>
      </c>
      <c r="F16" s="39" t="s">
        <v>53</v>
      </c>
      <c r="G16" s="24" t="s">
        <v>62</v>
      </c>
      <c r="H16" s="136">
        <v>146.5345098</v>
      </c>
      <c r="I16" s="149">
        <v>426</v>
      </c>
      <c r="J16" s="136">
        <f>I16*$J$1</f>
        <v>42.6</v>
      </c>
      <c r="K16" s="136">
        <v>0</v>
      </c>
      <c r="L16" s="139"/>
      <c r="M16" s="139"/>
      <c r="N16" s="136"/>
      <c r="O16" s="11"/>
      <c r="P16" s="136"/>
      <c r="Q16" s="140"/>
      <c r="R16" s="136"/>
      <c r="S16" s="136"/>
      <c r="T16" s="136"/>
      <c r="U16" s="136">
        <f aca="true" t="shared" si="3" ref="U16:U24">H16+J16+K16+N16+P16+R16+S16+T16</f>
        <v>189.1345098</v>
      </c>
    </row>
    <row r="17" spans="1:21" ht="15" outlineLevel="2">
      <c r="A17" s="6" t="s">
        <v>72</v>
      </c>
      <c r="B17" s="7" t="s">
        <v>73</v>
      </c>
      <c r="C17" s="7" t="s">
        <v>74</v>
      </c>
      <c r="D17" s="8" t="s">
        <v>75</v>
      </c>
      <c r="E17" s="42" t="s">
        <v>76</v>
      </c>
      <c r="F17" s="39" t="s">
        <v>53</v>
      </c>
      <c r="G17" s="24" t="s">
        <v>63</v>
      </c>
      <c r="H17" s="136">
        <v>253.8880806</v>
      </c>
      <c r="I17" s="149">
        <v>156</v>
      </c>
      <c r="J17" s="136">
        <f>I17*$J$2</f>
        <v>9.36</v>
      </c>
      <c r="K17" s="136">
        <v>15</v>
      </c>
      <c r="L17" s="139"/>
      <c r="M17" s="139"/>
      <c r="N17" s="136"/>
      <c r="O17" s="11"/>
      <c r="P17" s="136"/>
      <c r="Q17" s="140"/>
      <c r="R17" s="136"/>
      <c r="S17" s="136"/>
      <c r="T17" s="136"/>
      <c r="U17" s="136">
        <f t="shared" si="3"/>
        <v>278.2480806</v>
      </c>
    </row>
    <row r="18" spans="1:21" ht="15" outlineLevel="2">
      <c r="A18" s="6" t="s">
        <v>72</v>
      </c>
      <c r="B18" s="7" t="s">
        <v>73</v>
      </c>
      <c r="C18" s="7" t="s">
        <v>74</v>
      </c>
      <c r="D18" s="8" t="s">
        <v>75</v>
      </c>
      <c r="E18" s="42" t="s">
        <v>76</v>
      </c>
      <c r="F18" s="39" t="s">
        <v>53</v>
      </c>
      <c r="G18" s="24" t="s">
        <v>64</v>
      </c>
      <c r="H18" s="136">
        <v>233.0282808</v>
      </c>
      <c r="I18" s="149">
        <v>217</v>
      </c>
      <c r="J18" s="136">
        <f>I18*$J$2</f>
        <v>13.02</v>
      </c>
      <c r="K18" s="136">
        <v>60</v>
      </c>
      <c r="L18" s="139"/>
      <c r="M18" s="139"/>
      <c r="N18" s="136"/>
      <c r="O18" s="11"/>
      <c r="P18" s="136"/>
      <c r="Q18" s="140"/>
      <c r="R18" s="136"/>
      <c r="S18" s="136"/>
      <c r="T18" s="136"/>
      <c r="U18" s="136">
        <f t="shared" si="3"/>
        <v>306.04828080000004</v>
      </c>
    </row>
    <row r="19" spans="1:21" s="22" customFormat="1" ht="15" outlineLevel="2">
      <c r="A19" s="6" t="s">
        <v>72</v>
      </c>
      <c r="B19" s="7" t="s">
        <v>73</v>
      </c>
      <c r="C19" s="7" t="s">
        <v>74</v>
      </c>
      <c r="D19" s="8" t="s">
        <v>75</v>
      </c>
      <c r="E19" s="42" t="s">
        <v>76</v>
      </c>
      <c r="F19" s="39" t="s">
        <v>53</v>
      </c>
      <c r="G19" s="24" t="s">
        <v>65</v>
      </c>
      <c r="H19" s="136">
        <v>36.45248180000001</v>
      </c>
      <c r="I19" s="149">
        <v>79</v>
      </c>
      <c r="J19" s="136">
        <f>I19*$J$2</f>
        <v>4.74</v>
      </c>
      <c r="K19" s="136">
        <v>30</v>
      </c>
      <c r="L19" s="139"/>
      <c r="M19" s="139"/>
      <c r="N19" s="136"/>
      <c r="O19" s="11"/>
      <c r="P19" s="136"/>
      <c r="Q19" s="140"/>
      <c r="R19" s="136"/>
      <c r="S19" s="136"/>
      <c r="T19" s="136"/>
      <c r="U19" s="136">
        <f t="shared" si="3"/>
        <v>71.19248180000001</v>
      </c>
    </row>
    <row r="20" spans="1:21" s="22" customFormat="1" ht="15" outlineLevel="2">
      <c r="A20" s="6" t="s">
        <v>72</v>
      </c>
      <c r="B20" s="7" t="s">
        <v>73</v>
      </c>
      <c r="C20" s="7" t="s">
        <v>74</v>
      </c>
      <c r="D20" s="8" t="s">
        <v>75</v>
      </c>
      <c r="E20" s="42" t="s">
        <v>76</v>
      </c>
      <c r="F20" s="39" t="s">
        <v>53</v>
      </c>
      <c r="G20" s="24" t="s">
        <v>66</v>
      </c>
      <c r="H20" s="136">
        <v>237.8623268</v>
      </c>
      <c r="I20" s="149">
        <v>252</v>
      </c>
      <c r="J20" s="136">
        <f>I20*$J$2</f>
        <v>15.12</v>
      </c>
      <c r="K20" s="136">
        <v>75</v>
      </c>
      <c r="L20" s="139"/>
      <c r="M20" s="139"/>
      <c r="N20" s="136"/>
      <c r="O20" s="11"/>
      <c r="P20" s="136"/>
      <c r="Q20" s="140"/>
      <c r="R20" s="136"/>
      <c r="S20" s="136"/>
      <c r="T20" s="136"/>
      <c r="U20" s="136">
        <f t="shared" si="3"/>
        <v>327.9823268</v>
      </c>
    </row>
    <row r="21" spans="1:21" s="22" customFormat="1" ht="15" outlineLevel="2">
      <c r="A21" s="6" t="s">
        <v>72</v>
      </c>
      <c r="B21" s="7" t="s">
        <v>73</v>
      </c>
      <c r="C21" s="7" t="s">
        <v>74</v>
      </c>
      <c r="D21" s="8">
        <v>406250</v>
      </c>
      <c r="E21" s="16" t="s">
        <v>76</v>
      </c>
      <c r="F21" s="39" t="s">
        <v>585</v>
      </c>
      <c r="G21" s="16" t="s">
        <v>592</v>
      </c>
      <c r="H21" s="136"/>
      <c r="I21" s="149"/>
      <c r="J21" s="136"/>
      <c r="K21" s="136"/>
      <c r="L21" s="139">
        <v>1</v>
      </c>
      <c r="M21" s="139">
        <v>0.09</v>
      </c>
      <c r="N21" s="136">
        <f>L21*M21*$N$2</f>
        <v>282.15</v>
      </c>
      <c r="O21" s="11"/>
      <c r="P21" s="136"/>
      <c r="Q21" s="140"/>
      <c r="R21" s="136"/>
      <c r="S21" s="136"/>
      <c r="T21" s="136"/>
      <c r="U21" s="136">
        <f t="shared" si="3"/>
        <v>282.15</v>
      </c>
    </row>
    <row r="22" spans="1:21" s="22" customFormat="1" ht="15" outlineLevel="2">
      <c r="A22" s="28" t="s">
        <v>72</v>
      </c>
      <c r="B22" s="11" t="str">
        <f>B21</f>
        <v>DOH-ICS</v>
      </c>
      <c r="C22" s="11" t="str">
        <f>C21</f>
        <v>INTEGRATED CLINICAL SERVICES</v>
      </c>
      <c r="D22" s="13">
        <f>D21</f>
        <v>406250</v>
      </c>
      <c r="E22" s="38" t="str">
        <f>E21</f>
        <v>40-60</v>
      </c>
      <c r="F22" s="20" t="s">
        <v>615</v>
      </c>
      <c r="G22" s="11" t="s">
        <v>615</v>
      </c>
      <c r="H22" s="136"/>
      <c r="I22" s="140"/>
      <c r="J22" s="136"/>
      <c r="K22" s="136"/>
      <c r="L22" s="139"/>
      <c r="M22" s="139"/>
      <c r="N22" s="136"/>
      <c r="O22" s="29">
        <f>4.25+1.5</f>
        <v>5.75</v>
      </c>
      <c r="P22" s="136">
        <f>O22*$P$2</f>
        <v>414</v>
      </c>
      <c r="Q22" s="140"/>
      <c r="R22" s="136"/>
      <c r="S22" s="136"/>
      <c r="T22" s="136"/>
      <c r="U22" s="136">
        <f t="shared" si="3"/>
        <v>414</v>
      </c>
    </row>
    <row r="23" spans="1:21" s="22" customFormat="1" ht="15" outlineLevel="2">
      <c r="A23" s="28" t="s">
        <v>72</v>
      </c>
      <c r="B23" s="11" t="str">
        <f>B21</f>
        <v>DOH-ICS</v>
      </c>
      <c r="C23" s="11" t="str">
        <f>C21</f>
        <v>INTEGRATED CLINICAL SERVICES</v>
      </c>
      <c r="D23" s="13">
        <f>D21</f>
        <v>406250</v>
      </c>
      <c r="E23" s="38" t="str">
        <f>E21</f>
        <v>40-60</v>
      </c>
      <c r="F23" s="20" t="s">
        <v>53</v>
      </c>
      <c r="G23" s="11" t="s">
        <v>687</v>
      </c>
      <c r="H23" s="136"/>
      <c r="I23" s="140"/>
      <c r="J23" s="136"/>
      <c r="K23" s="136"/>
      <c r="L23" s="139"/>
      <c r="M23" s="139"/>
      <c r="N23" s="136"/>
      <c r="O23" s="29"/>
      <c r="P23" s="136"/>
      <c r="Q23" s="140"/>
      <c r="R23" s="136">
        <v>2498.96</v>
      </c>
      <c r="S23" s="136"/>
      <c r="T23" s="136"/>
      <c r="U23" s="136">
        <f t="shared" si="3"/>
        <v>2498.96</v>
      </c>
    </row>
    <row r="24" spans="1:21" ht="15" outlineLevel="2">
      <c r="A24" s="28" t="s">
        <v>72</v>
      </c>
      <c r="B24" s="11" t="str">
        <f>B21</f>
        <v>DOH-ICS</v>
      </c>
      <c r="C24" s="11" t="str">
        <f>C21</f>
        <v>INTEGRATED CLINICAL SERVICES</v>
      </c>
      <c r="D24" s="13">
        <f>D21</f>
        <v>406250</v>
      </c>
      <c r="E24" s="38" t="str">
        <f>E21</f>
        <v>40-60</v>
      </c>
      <c r="F24" s="20" t="s">
        <v>584</v>
      </c>
      <c r="G24" s="11" t="s">
        <v>584</v>
      </c>
      <c r="H24" s="136"/>
      <c r="I24" s="140"/>
      <c r="J24" s="136"/>
      <c r="K24" s="136"/>
      <c r="L24" s="139"/>
      <c r="M24" s="139"/>
      <c r="N24" s="136"/>
      <c r="O24" s="29">
        <v>1</v>
      </c>
      <c r="P24" s="136">
        <v>63</v>
      </c>
      <c r="Q24" s="140">
        <f>778+1044+1044+1214+1080+1147</f>
        <v>6307</v>
      </c>
      <c r="R24" s="136">
        <f>26.43+19.45+26.1+135.67+200.16+30.35+27+28.68</f>
        <v>493.84</v>
      </c>
      <c r="S24" s="136">
        <f>Q24*$S$2</f>
        <v>63.07</v>
      </c>
      <c r="T24" s="136"/>
      <c r="U24" s="136">
        <f t="shared" si="3"/>
        <v>619.91</v>
      </c>
    </row>
    <row r="25" spans="1:21" s="5" customFormat="1" ht="15.75" outlineLevel="1">
      <c r="A25" s="1" t="s">
        <v>881</v>
      </c>
      <c r="B25" s="172"/>
      <c r="C25" s="2"/>
      <c r="D25" s="19"/>
      <c r="E25" s="44"/>
      <c r="F25" s="51"/>
      <c r="G25" s="2"/>
      <c r="H25" s="137">
        <f aca="true" t="shared" si="4" ref="H25:U25">SUBTOTAL(9,H16:H24)</f>
        <v>907.7656797999999</v>
      </c>
      <c r="I25" s="144">
        <f t="shared" si="4"/>
        <v>1130</v>
      </c>
      <c r="J25" s="137">
        <f t="shared" si="4"/>
        <v>84.84</v>
      </c>
      <c r="K25" s="137">
        <f t="shared" si="4"/>
        <v>180</v>
      </c>
      <c r="L25" s="141">
        <f t="shared" si="4"/>
        <v>1</v>
      </c>
      <c r="M25" s="141">
        <f t="shared" si="4"/>
        <v>0.09</v>
      </c>
      <c r="N25" s="137">
        <f t="shared" si="4"/>
        <v>282.15</v>
      </c>
      <c r="O25" s="45">
        <f t="shared" si="4"/>
        <v>6.75</v>
      </c>
      <c r="P25" s="137">
        <f t="shared" si="4"/>
        <v>477</v>
      </c>
      <c r="Q25" s="167">
        <f t="shared" si="4"/>
        <v>6307</v>
      </c>
      <c r="R25" s="137">
        <f t="shared" si="4"/>
        <v>2992.8</v>
      </c>
      <c r="S25" s="137">
        <f t="shared" si="4"/>
        <v>63.07</v>
      </c>
      <c r="T25" s="137">
        <f t="shared" si="4"/>
        <v>0</v>
      </c>
      <c r="U25" s="137">
        <f t="shared" si="4"/>
        <v>4987.6256797999995</v>
      </c>
    </row>
    <row r="26" spans="1:21" ht="15" outlineLevel="2">
      <c r="A26" s="6" t="s">
        <v>91</v>
      </c>
      <c r="B26" s="11" t="s">
        <v>92</v>
      </c>
      <c r="C26" s="11" t="s">
        <v>93</v>
      </c>
      <c r="D26" s="13" t="s">
        <v>94</v>
      </c>
      <c r="E26" s="42" t="s">
        <v>95</v>
      </c>
      <c r="F26" s="39" t="s">
        <v>53</v>
      </c>
      <c r="G26" s="24" t="s">
        <v>62</v>
      </c>
      <c r="H26" s="136">
        <v>47.86859</v>
      </c>
      <c r="I26" s="149">
        <v>146</v>
      </c>
      <c r="J26" s="136">
        <f>I26*$J$1</f>
        <v>14.600000000000001</v>
      </c>
      <c r="K26" s="136">
        <v>30</v>
      </c>
      <c r="L26" s="139"/>
      <c r="M26" s="139"/>
      <c r="N26" s="136"/>
      <c r="O26" s="11"/>
      <c r="P26" s="136"/>
      <c r="Q26" s="140"/>
      <c r="R26" s="136"/>
      <c r="S26" s="136"/>
      <c r="T26" s="136"/>
      <c r="U26" s="136">
        <f aca="true" t="shared" si="5" ref="U26:U32">H26+J26+K26+N26+P26+R26+S26+T26</f>
        <v>92.46859</v>
      </c>
    </row>
    <row r="27" spans="1:21" ht="15" outlineLevel="2">
      <c r="A27" s="6" t="s">
        <v>91</v>
      </c>
      <c r="B27" s="11" t="s">
        <v>92</v>
      </c>
      <c r="C27" s="11" t="s">
        <v>93</v>
      </c>
      <c r="D27" s="13" t="s">
        <v>94</v>
      </c>
      <c r="E27" s="42" t="s">
        <v>95</v>
      </c>
      <c r="F27" s="39" t="s">
        <v>53</v>
      </c>
      <c r="G27" s="24" t="s">
        <v>63</v>
      </c>
      <c r="H27" s="136">
        <v>16.945376</v>
      </c>
      <c r="I27" s="149">
        <v>3</v>
      </c>
      <c r="J27" s="136">
        <f>I27*$J$2</f>
        <v>0.18</v>
      </c>
      <c r="K27" s="136">
        <v>15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 t="shared" si="5"/>
        <v>32.125376</v>
      </c>
    </row>
    <row r="28" spans="1:21" ht="15" outlineLevel="2">
      <c r="A28" s="6" t="s">
        <v>91</v>
      </c>
      <c r="B28" s="11" t="s">
        <v>92</v>
      </c>
      <c r="C28" s="11" t="s">
        <v>93</v>
      </c>
      <c r="D28" s="13" t="s">
        <v>94</v>
      </c>
      <c r="E28" s="42" t="s">
        <v>95</v>
      </c>
      <c r="F28" s="39" t="s">
        <v>53</v>
      </c>
      <c r="G28" s="24" t="s">
        <v>64</v>
      </c>
      <c r="H28" s="136">
        <v>6.438403999999999</v>
      </c>
      <c r="I28" s="149">
        <v>6</v>
      </c>
      <c r="J28" s="136">
        <f>I28*$J$2</f>
        <v>0.36</v>
      </c>
      <c r="K28" s="136">
        <v>30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 t="shared" si="5"/>
        <v>36.798404</v>
      </c>
    </row>
    <row r="29" spans="1:21" ht="15" outlineLevel="2">
      <c r="A29" s="6" t="s">
        <v>91</v>
      </c>
      <c r="B29" s="11" t="s">
        <v>92</v>
      </c>
      <c r="C29" s="11" t="s">
        <v>93</v>
      </c>
      <c r="D29" s="13" t="s">
        <v>94</v>
      </c>
      <c r="E29" s="42" t="s">
        <v>95</v>
      </c>
      <c r="F29" s="39" t="s">
        <v>53</v>
      </c>
      <c r="G29" s="24" t="s">
        <v>65</v>
      </c>
      <c r="H29" s="136">
        <v>1.3002639999999999</v>
      </c>
      <c r="I29" s="149">
        <v>3</v>
      </c>
      <c r="J29" s="136">
        <f>I29*$J$2</f>
        <v>0.18</v>
      </c>
      <c r="K29" s="136">
        <v>15</v>
      </c>
      <c r="L29" s="139"/>
      <c r="M29" s="139"/>
      <c r="N29" s="136"/>
      <c r="O29" s="11"/>
      <c r="P29" s="136"/>
      <c r="Q29" s="140"/>
      <c r="R29" s="136"/>
      <c r="S29" s="136"/>
      <c r="T29" s="136"/>
      <c r="U29" s="136">
        <f t="shared" si="5"/>
        <v>16.480264</v>
      </c>
    </row>
    <row r="30" spans="1:21" ht="15" outlineLevel="2">
      <c r="A30" s="6" t="s">
        <v>91</v>
      </c>
      <c r="B30" s="11" t="s">
        <v>92</v>
      </c>
      <c r="C30" s="11" t="s">
        <v>93</v>
      </c>
      <c r="D30" s="13" t="s">
        <v>94</v>
      </c>
      <c r="E30" s="42" t="s">
        <v>95</v>
      </c>
      <c r="F30" s="39" t="s">
        <v>53</v>
      </c>
      <c r="G30" s="24" t="s">
        <v>66</v>
      </c>
      <c r="H30" s="136">
        <v>1.8476332</v>
      </c>
      <c r="I30" s="149">
        <v>2</v>
      </c>
      <c r="J30" s="136">
        <f>I30*$J$2</f>
        <v>0.12</v>
      </c>
      <c r="K30" s="136">
        <v>15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 t="shared" si="5"/>
        <v>16.9676332</v>
      </c>
    </row>
    <row r="31" spans="1:21" ht="15" outlineLevel="2">
      <c r="A31" s="6" t="s">
        <v>91</v>
      </c>
      <c r="B31" s="17" t="s">
        <v>92</v>
      </c>
      <c r="C31" s="17" t="s">
        <v>93</v>
      </c>
      <c r="D31" s="20" t="s">
        <v>94</v>
      </c>
      <c r="E31" s="18" t="s">
        <v>95</v>
      </c>
      <c r="F31" s="39" t="s">
        <v>585</v>
      </c>
      <c r="G31" s="18" t="s">
        <v>592</v>
      </c>
      <c r="H31" s="136"/>
      <c r="I31" s="149"/>
      <c r="J31" s="136"/>
      <c r="K31" s="136"/>
      <c r="L31" s="139">
        <v>1</v>
      </c>
      <c r="M31" s="139">
        <v>0.1</v>
      </c>
      <c r="N31" s="136">
        <f>L31*M31*$N$2</f>
        <v>313.5</v>
      </c>
      <c r="O31" s="11"/>
      <c r="P31" s="136"/>
      <c r="Q31" s="140"/>
      <c r="R31" s="136"/>
      <c r="S31" s="136"/>
      <c r="T31" s="136"/>
      <c r="U31" s="136">
        <f t="shared" si="5"/>
        <v>313.5</v>
      </c>
    </row>
    <row r="32" spans="1:21" ht="15" outlineLevel="2">
      <c r="A32" s="36" t="s">
        <v>636</v>
      </c>
      <c r="B32" s="11" t="str">
        <f>B31</f>
        <v>DOH-CHS</v>
      </c>
      <c r="C32" s="11" t="str">
        <f>C31</f>
        <v>COMM. HEALTH SERVICES</v>
      </c>
      <c r="D32" s="13" t="str">
        <f>D31</f>
        <v>4SA45-05-1</v>
      </c>
      <c r="E32" s="27" t="str">
        <f>E31</f>
        <v>40-30</v>
      </c>
      <c r="F32" s="20" t="s">
        <v>683</v>
      </c>
      <c r="G32" s="11" t="s">
        <v>683</v>
      </c>
      <c r="H32" s="136"/>
      <c r="I32" s="140"/>
      <c r="J32" s="136"/>
      <c r="K32" s="136"/>
      <c r="L32" s="139"/>
      <c r="M32" s="139"/>
      <c r="N32" s="136"/>
      <c r="O32" s="34"/>
      <c r="P32" s="136"/>
      <c r="Q32" s="140"/>
      <c r="R32" s="136"/>
      <c r="S32" s="136"/>
      <c r="T32" s="150">
        <v>4.35</v>
      </c>
      <c r="U32" s="136">
        <f t="shared" si="5"/>
        <v>4.35</v>
      </c>
    </row>
    <row r="33" spans="1:21" s="5" customFormat="1" ht="15.75" outlineLevel="1">
      <c r="A33" s="1" t="s">
        <v>882</v>
      </c>
      <c r="B33" s="172"/>
      <c r="C33" s="2"/>
      <c r="D33" s="19"/>
      <c r="E33" s="44"/>
      <c r="F33" s="51"/>
      <c r="G33" s="2"/>
      <c r="H33" s="137">
        <f aca="true" t="shared" si="6" ref="H33:U33">SUBTOTAL(9,H26:H32)</f>
        <v>74.4002672</v>
      </c>
      <c r="I33" s="144">
        <f t="shared" si="6"/>
        <v>160</v>
      </c>
      <c r="J33" s="137">
        <f t="shared" si="6"/>
        <v>15.44</v>
      </c>
      <c r="K33" s="137">
        <f t="shared" si="6"/>
        <v>105</v>
      </c>
      <c r="L33" s="141">
        <f t="shared" si="6"/>
        <v>1</v>
      </c>
      <c r="M33" s="141">
        <f t="shared" si="6"/>
        <v>0.1</v>
      </c>
      <c r="N33" s="137">
        <f t="shared" si="6"/>
        <v>313.5</v>
      </c>
      <c r="O33" s="45">
        <f t="shared" si="6"/>
        <v>0</v>
      </c>
      <c r="P33" s="137">
        <f t="shared" si="6"/>
        <v>0</v>
      </c>
      <c r="Q33" s="167">
        <f t="shared" si="6"/>
        <v>0</v>
      </c>
      <c r="R33" s="137">
        <f t="shared" si="6"/>
        <v>0</v>
      </c>
      <c r="S33" s="137">
        <f t="shared" si="6"/>
        <v>0</v>
      </c>
      <c r="T33" s="137">
        <f t="shared" si="6"/>
        <v>4.35</v>
      </c>
      <c r="U33" s="137">
        <f t="shared" si="6"/>
        <v>512.6902672</v>
      </c>
    </row>
    <row r="34" spans="1:21" ht="15" outlineLevel="2">
      <c r="A34" s="6" t="s">
        <v>96</v>
      </c>
      <c r="B34" s="11" t="s">
        <v>68</v>
      </c>
      <c r="C34" s="11" t="s">
        <v>97</v>
      </c>
      <c r="D34" s="13" t="s">
        <v>98</v>
      </c>
      <c r="E34" s="42" t="s">
        <v>99</v>
      </c>
      <c r="F34" s="39" t="s">
        <v>53</v>
      </c>
      <c r="G34" s="24" t="s">
        <v>62</v>
      </c>
      <c r="H34" s="136">
        <v>4.945197599999999</v>
      </c>
      <c r="I34" s="149">
        <v>15</v>
      </c>
      <c r="J34" s="136">
        <f>I34*$J$1</f>
        <v>1.5</v>
      </c>
      <c r="K34" s="136">
        <v>90</v>
      </c>
      <c r="L34" s="139"/>
      <c r="M34" s="139"/>
      <c r="N34" s="136"/>
      <c r="O34" s="11"/>
      <c r="P34" s="136"/>
      <c r="Q34" s="140"/>
      <c r="R34" s="136"/>
      <c r="S34" s="136"/>
      <c r="T34" s="136"/>
      <c r="U34" s="136">
        <f aca="true" t="shared" si="7" ref="U34:U39">H34+J34+K34+N34+P34+R34+S34+T34</f>
        <v>96.4451976</v>
      </c>
    </row>
    <row r="35" spans="1:21" ht="15" outlineLevel="2">
      <c r="A35" s="6" t="s">
        <v>96</v>
      </c>
      <c r="B35" s="11" t="s">
        <v>68</v>
      </c>
      <c r="C35" s="11" t="s">
        <v>97</v>
      </c>
      <c r="D35" s="13" t="s">
        <v>98</v>
      </c>
      <c r="E35" s="42" t="s">
        <v>99</v>
      </c>
      <c r="F35" s="39" t="s">
        <v>53</v>
      </c>
      <c r="G35" s="24" t="s">
        <v>63</v>
      </c>
      <c r="H35" s="136">
        <v>4.82356</v>
      </c>
      <c r="I35" s="149">
        <v>1</v>
      </c>
      <c r="J35" s="136">
        <f>I35*$J$2</f>
        <v>0.06</v>
      </c>
      <c r="K35" s="136">
        <v>0</v>
      </c>
      <c r="L35" s="139"/>
      <c r="M35" s="139"/>
      <c r="N35" s="136"/>
      <c r="O35" s="11"/>
      <c r="P35" s="136"/>
      <c r="Q35" s="140"/>
      <c r="R35" s="136"/>
      <c r="S35" s="136"/>
      <c r="T35" s="136"/>
      <c r="U35" s="136">
        <f t="shared" si="7"/>
        <v>4.883559999999999</v>
      </c>
    </row>
    <row r="36" spans="1:21" ht="15" outlineLevel="2">
      <c r="A36" s="6" t="s">
        <v>96</v>
      </c>
      <c r="B36" s="11" t="s">
        <v>68</v>
      </c>
      <c r="C36" s="11" t="s">
        <v>97</v>
      </c>
      <c r="D36" s="13" t="s">
        <v>98</v>
      </c>
      <c r="E36" s="42" t="s">
        <v>99</v>
      </c>
      <c r="F36" s="39" t="s">
        <v>53</v>
      </c>
      <c r="G36" s="24" t="s">
        <v>64</v>
      </c>
      <c r="H36" s="136">
        <v>7.5478228</v>
      </c>
      <c r="I36" s="149">
        <v>5</v>
      </c>
      <c r="J36" s="136">
        <f>I36*$J$2</f>
        <v>0.3</v>
      </c>
      <c r="K36" s="136">
        <v>45</v>
      </c>
      <c r="L36" s="139"/>
      <c r="M36" s="139"/>
      <c r="N36" s="136"/>
      <c r="O36" s="11"/>
      <c r="P36" s="136"/>
      <c r="Q36" s="140"/>
      <c r="R36" s="136"/>
      <c r="S36" s="136"/>
      <c r="T36" s="136"/>
      <c r="U36" s="136">
        <f t="shared" si="7"/>
        <v>52.8478228</v>
      </c>
    </row>
    <row r="37" spans="1:21" ht="15" outlineLevel="2">
      <c r="A37" s="6" t="s">
        <v>96</v>
      </c>
      <c r="B37" s="11" t="s">
        <v>68</v>
      </c>
      <c r="C37" s="11" t="s">
        <v>97</v>
      </c>
      <c r="D37" s="13" t="s">
        <v>98</v>
      </c>
      <c r="E37" s="42" t="s">
        <v>99</v>
      </c>
      <c r="F37" s="39" t="s">
        <v>53</v>
      </c>
      <c r="G37" s="24" t="s">
        <v>65</v>
      </c>
      <c r="H37" s="136">
        <v>1.719704</v>
      </c>
      <c r="I37" s="149">
        <v>4</v>
      </c>
      <c r="J37" s="136">
        <f>I37*$J$2</f>
        <v>0.24</v>
      </c>
      <c r="K37" s="136">
        <v>30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 t="shared" si="7"/>
        <v>31.959704</v>
      </c>
    </row>
    <row r="38" spans="1:21" ht="15" outlineLevel="2">
      <c r="A38" s="6" t="s">
        <v>96</v>
      </c>
      <c r="B38" s="11" t="s">
        <v>68</v>
      </c>
      <c r="C38" s="11" t="s">
        <v>97</v>
      </c>
      <c r="D38" s="13" t="s">
        <v>98</v>
      </c>
      <c r="E38" s="42" t="s">
        <v>99</v>
      </c>
      <c r="F38" s="39" t="s">
        <v>53</v>
      </c>
      <c r="G38" s="24" t="s">
        <v>66</v>
      </c>
      <c r="H38" s="136">
        <v>1.6494478</v>
      </c>
      <c r="I38" s="149">
        <v>2</v>
      </c>
      <c r="J38" s="136">
        <f>I38*$J$2</f>
        <v>0.12</v>
      </c>
      <c r="K38" s="136">
        <v>0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 t="shared" si="7"/>
        <v>1.7694478</v>
      </c>
    </row>
    <row r="39" spans="1:21" ht="15" outlineLevel="2">
      <c r="A39" s="6" t="s">
        <v>96</v>
      </c>
      <c r="B39" s="17" t="s">
        <v>68</v>
      </c>
      <c r="C39" s="17" t="s">
        <v>97</v>
      </c>
      <c r="D39" s="13">
        <v>402100</v>
      </c>
      <c r="E39" s="18" t="s">
        <v>99</v>
      </c>
      <c r="F39" s="39" t="s">
        <v>585</v>
      </c>
      <c r="G39" s="18" t="s">
        <v>592</v>
      </c>
      <c r="H39" s="136"/>
      <c r="I39" s="149"/>
      <c r="J39" s="136"/>
      <c r="K39" s="136"/>
      <c r="L39" s="139">
        <v>2</v>
      </c>
      <c r="M39" s="139">
        <v>0.05</v>
      </c>
      <c r="N39" s="136">
        <f>L39*M39*$N$2</f>
        <v>313.5</v>
      </c>
      <c r="O39" s="11"/>
      <c r="P39" s="136"/>
      <c r="Q39" s="140"/>
      <c r="R39" s="136"/>
      <c r="S39" s="136"/>
      <c r="T39" s="136"/>
      <c r="U39" s="136">
        <f t="shared" si="7"/>
        <v>313.5</v>
      </c>
    </row>
    <row r="40" spans="1:21" s="5" customFormat="1" ht="15.75" outlineLevel="1">
      <c r="A40" s="1" t="s">
        <v>883</v>
      </c>
      <c r="B40" s="172"/>
      <c r="C40" s="2"/>
      <c r="D40" s="19"/>
      <c r="E40" s="44"/>
      <c r="F40" s="51"/>
      <c r="G40" s="2"/>
      <c r="H40" s="137">
        <f aca="true" t="shared" si="8" ref="H40:U40">SUBTOTAL(9,H34:H39)</f>
        <v>20.6857322</v>
      </c>
      <c r="I40" s="144">
        <f t="shared" si="8"/>
        <v>27</v>
      </c>
      <c r="J40" s="137">
        <f t="shared" si="8"/>
        <v>2.22</v>
      </c>
      <c r="K40" s="137">
        <f t="shared" si="8"/>
        <v>165</v>
      </c>
      <c r="L40" s="141">
        <f t="shared" si="8"/>
        <v>2</v>
      </c>
      <c r="M40" s="141">
        <f t="shared" si="8"/>
        <v>0.05</v>
      </c>
      <c r="N40" s="137">
        <f t="shared" si="8"/>
        <v>313.5</v>
      </c>
      <c r="O40" s="45">
        <f t="shared" si="8"/>
        <v>0</v>
      </c>
      <c r="P40" s="137">
        <f t="shared" si="8"/>
        <v>0</v>
      </c>
      <c r="Q40" s="167">
        <f t="shared" si="8"/>
        <v>0</v>
      </c>
      <c r="R40" s="137">
        <f t="shared" si="8"/>
        <v>0</v>
      </c>
      <c r="S40" s="137">
        <f t="shared" si="8"/>
        <v>0</v>
      </c>
      <c r="T40" s="137">
        <f t="shared" si="8"/>
        <v>0</v>
      </c>
      <c r="U40" s="137">
        <f t="shared" si="8"/>
        <v>501.4057322</v>
      </c>
    </row>
    <row r="41" spans="1:21" ht="15" outlineLevel="2">
      <c r="A41" s="6" t="s">
        <v>100</v>
      </c>
      <c r="B41" s="11" t="s">
        <v>92</v>
      </c>
      <c r="C41" s="11" t="s">
        <v>93</v>
      </c>
      <c r="D41" s="13" t="s">
        <v>101</v>
      </c>
      <c r="E41" s="42" t="s">
        <v>95</v>
      </c>
      <c r="F41" s="39" t="s">
        <v>53</v>
      </c>
      <c r="G41" s="24" t="s">
        <v>62</v>
      </c>
      <c r="H41" s="136">
        <v>716.7380234000002</v>
      </c>
      <c r="I41" s="149">
        <v>2042</v>
      </c>
      <c r="J41" s="136">
        <f>I41*$J$1</f>
        <v>204.20000000000002</v>
      </c>
      <c r="K41" s="136">
        <v>60</v>
      </c>
      <c r="L41" s="139"/>
      <c r="M41" s="139"/>
      <c r="N41" s="136"/>
      <c r="O41" s="11"/>
      <c r="P41" s="136"/>
      <c r="Q41" s="140"/>
      <c r="R41" s="136"/>
      <c r="S41" s="136"/>
      <c r="T41" s="136"/>
      <c r="U41" s="136">
        <f aca="true" t="shared" si="9" ref="U41:U47">H41+J41+K41+N41+P41+R41+S41+T41</f>
        <v>980.9380234000002</v>
      </c>
    </row>
    <row r="42" spans="1:21" ht="15" outlineLevel="2">
      <c r="A42" s="6" t="s">
        <v>100</v>
      </c>
      <c r="B42" s="11" t="s">
        <v>92</v>
      </c>
      <c r="C42" s="11" t="s">
        <v>93</v>
      </c>
      <c r="D42" s="13" t="s">
        <v>101</v>
      </c>
      <c r="E42" s="42" t="s">
        <v>95</v>
      </c>
      <c r="F42" s="39" t="s">
        <v>53</v>
      </c>
      <c r="G42" s="24" t="s">
        <v>63</v>
      </c>
      <c r="H42" s="136">
        <v>18.308556</v>
      </c>
      <c r="I42" s="149">
        <v>10</v>
      </c>
      <c r="J42" s="136">
        <f>I42*$J$2</f>
        <v>0.6</v>
      </c>
      <c r="K42" s="136">
        <v>0</v>
      </c>
      <c r="L42" s="139"/>
      <c r="M42" s="139"/>
      <c r="N42" s="136"/>
      <c r="O42" s="11"/>
      <c r="P42" s="136"/>
      <c r="Q42" s="140"/>
      <c r="R42" s="136"/>
      <c r="S42" s="136"/>
      <c r="T42" s="136"/>
      <c r="U42" s="136">
        <f t="shared" si="9"/>
        <v>18.908556</v>
      </c>
    </row>
    <row r="43" spans="1:21" ht="15" outlineLevel="2">
      <c r="A43" s="6" t="s">
        <v>100</v>
      </c>
      <c r="B43" s="11" t="s">
        <v>92</v>
      </c>
      <c r="C43" s="11" t="s">
        <v>93</v>
      </c>
      <c r="D43" s="13" t="s">
        <v>101</v>
      </c>
      <c r="E43" s="42" t="s">
        <v>95</v>
      </c>
      <c r="F43" s="39" t="s">
        <v>53</v>
      </c>
      <c r="G43" s="24" t="s">
        <v>64</v>
      </c>
      <c r="H43" s="136">
        <v>36.364399399999996</v>
      </c>
      <c r="I43" s="149">
        <v>22</v>
      </c>
      <c r="J43" s="136">
        <f>I43*$J$2</f>
        <v>1.3199999999999998</v>
      </c>
      <c r="K43" s="136">
        <v>0</v>
      </c>
      <c r="L43" s="139"/>
      <c r="M43" s="139"/>
      <c r="N43" s="136"/>
      <c r="O43" s="11"/>
      <c r="P43" s="136"/>
      <c r="Q43" s="140"/>
      <c r="R43" s="136"/>
      <c r="S43" s="136"/>
      <c r="T43" s="136"/>
      <c r="U43" s="136">
        <f t="shared" si="9"/>
        <v>37.6843994</v>
      </c>
    </row>
    <row r="44" spans="1:21" ht="15" outlineLevel="2">
      <c r="A44" s="6" t="s">
        <v>100</v>
      </c>
      <c r="B44" s="11" t="s">
        <v>92</v>
      </c>
      <c r="C44" s="11" t="s">
        <v>93</v>
      </c>
      <c r="D44" s="13" t="s">
        <v>101</v>
      </c>
      <c r="E44" s="42" t="s">
        <v>95</v>
      </c>
      <c r="F44" s="39" t="s">
        <v>53</v>
      </c>
      <c r="G44" s="24" t="s">
        <v>65</v>
      </c>
      <c r="H44" s="136">
        <v>222.18156239999982</v>
      </c>
      <c r="I44" s="149">
        <v>498</v>
      </c>
      <c r="J44" s="136">
        <f>I44*$J$2</f>
        <v>29.88</v>
      </c>
      <c r="K44" s="136">
        <v>120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 t="shared" si="9"/>
        <v>372.06156239999984</v>
      </c>
    </row>
    <row r="45" spans="1:21" ht="15" outlineLevel="2">
      <c r="A45" s="6" t="s">
        <v>100</v>
      </c>
      <c r="B45" s="11" t="s">
        <v>92</v>
      </c>
      <c r="C45" s="11" t="s">
        <v>93</v>
      </c>
      <c r="D45" s="13" t="s">
        <v>101</v>
      </c>
      <c r="E45" s="42" t="s">
        <v>95</v>
      </c>
      <c r="F45" s="39" t="s">
        <v>53</v>
      </c>
      <c r="G45" s="24" t="s">
        <v>66</v>
      </c>
      <c r="H45" s="136">
        <v>104.3325542</v>
      </c>
      <c r="I45" s="149">
        <v>84</v>
      </c>
      <c r="J45" s="136">
        <f>I45*$J$2</f>
        <v>5.04</v>
      </c>
      <c r="K45" s="136">
        <v>0</v>
      </c>
      <c r="L45" s="139"/>
      <c r="M45" s="139"/>
      <c r="N45" s="136"/>
      <c r="O45" s="11"/>
      <c r="P45" s="136"/>
      <c r="Q45" s="140"/>
      <c r="R45" s="136"/>
      <c r="S45" s="136"/>
      <c r="T45" s="136"/>
      <c r="U45" s="136">
        <f t="shared" si="9"/>
        <v>109.37255420000001</v>
      </c>
    </row>
    <row r="46" spans="1:21" ht="15" outlineLevel="2">
      <c r="A46" s="6" t="s">
        <v>100</v>
      </c>
      <c r="B46" s="17" t="s">
        <v>92</v>
      </c>
      <c r="C46" s="17" t="s">
        <v>93</v>
      </c>
      <c r="D46" s="13">
        <v>403600</v>
      </c>
      <c r="E46" s="18" t="s">
        <v>95</v>
      </c>
      <c r="F46" s="39" t="s">
        <v>585</v>
      </c>
      <c r="G46" s="18" t="s">
        <v>592</v>
      </c>
      <c r="H46" s="136"/>
      <c r="I46" s="149"/>
      <c r="J46" s="136"/>
      <c r="K46" s="136"/>
      <c r="L46" s="139">
        <v>1</v>
      </c>
      <c r="M46" s="139">
        <v>0.5</v>
      </c>
      <c r="N46" s="136">
        <f>L46*M46*$N$2</f>
        <v>1567.5</v>
      </c>
      <c r="O46" s="11"/>
      <c r="P46" s="136"/>
      <c r="Q46" s="140"/>
      <c r="R46" s="136"/>
      <c r="S46" s="136"/>
      <c r="T46" s="136"/>
      <c r="U46" s="136">
        <f t="shared" si="9"/>
        <v>1567.5</v>
      </c>
    </row>
    <row r="47" spans="1:21" ht="15" outlineLevel="2">
      <c r="A47" s="36" t="s">
        <v>637</v>
      </c>
      <c r="B47" s="11" t="str">
        <f>B46</f>
        <v>DOH-CHS</v>
      </c>
      <c r="C47" s="11" t="str">
        <f>C46</f>
        <v>COMM. HEALTH SERVICES</v>
      </c>
      <c r="D47" s="13">
        <f>D46</f>
        <v>403600</v>
      </c>
      <c r="E47" s="27" t="str">
        <f>E46</f>
        <v>40-30</v>
      </c>
      <c r="F47" s="20" t="s">
        <v>683</v>
      </c>
      <c r="G47" s="11" t="s">
        <v>683</v>
      </c>
      <c r="H47" s="136"/>
      <c r="I47" s="140"/>
      <c r="J47" s="136"/>
      <c r="K47" s="136"/>
      <c r="L47" s="139"/>
      <c r="M47" s="139"/>
      <c r="N47" s="136"/>
      <c r="O47" s="34"/>
      <c r="P47" s="136"/>
      <c r="Q47" s="140"/>
      <c r="R47" s="136"/>
      <c r="S47" s="136"/>
      <c r="T47" s="150">
        <v>12.24</v>
      </c>
      <c r="U47" s="136">
        <f t="shared" si="9"/>
        <v>12.24</v>
      </c>
    </row>
    <row r="48" spans="1:21" s="5" customFormat="1" ht="15.75" outlineLevel="1">
      <c r="A48" s="1" t="s">
        <v>884</v>
      </c>
      <c r="B48" s="172"/>
      <c r="C48" s="2"/>
      <c r="D48" s="19"/>
      <c r="E48" s="44"/>
      <c r="F48" s="51"/>
      <c r="G48" s="2"/>
      <c r="H48" s="137">
        <f aca="true" t="shared" si="10" ref="H48:U48">SUBTOTAL(9,H41:H47)</f>
        <v>1097.9250954</v>
      </c>
      <c r="I48" s="144">
        <f t="shared" si="10"/>
        <v>2656</v>
      </c>
      <c r="J48" s="137">
        <f t="shared" si="10"/>
        <v>241.04</v>
      </c>
      <c r="K48" s="137">
        <f t="shared" si="10"/>
        <v>180</v>
      </c>
      <c r="L48" s="141">
        <f t="shared" si="10"/>
        <v>1</v>
      </c>
      <c r="M48" s="141">
        <f t="shared" si="10"/>
        <v>0.5</v>
      </c>
      <c r="N48" s="137">
        <f t="shared" si="10"/>
        <v>1567.5</v>
      </c>
      <c r="O48" s="45">
        <f t="shared" si="10"/>
        <v>0</v>
      </c>
      <c r="P48" s="137">
        <f t="shared" si="10"/>
        <v>0</v>
      </c>
      <c r="Q48" s="167">
        <f t="shared" si="10"/>
        <v>0</v>
      </c>
      <c r="R48" s="137">
        <f t="shared" si="10"/>
        <v>0</v>
      </c>
      <c r="S48" s="137">
        <f t="shared" si="10"/>
        <v>0</v>
      </c>
      <c r="T48" s="137">
        <f t="shared" si="10"/>
        <v>12.24</v>
      </c>
      <c r="U48" s="137">
        <f t="shared" si="10"/>
        <v>3098.7050953999997</v>
      </c>
    </row>
    <row r="49" spans="1:21" ht="15" outlineLevel="2">
      <c r="A49" s="6" t="s">
        <v>102</v>
      </c>
      <c r="B49" s="11" t="s">
        <v>92</v>
      </c>
      <c r="C49" s="11" t="s">
        <v>93</v>
      </c>
      <c r="D49" s="13" t="s">
        <v>103</v>
      </c>
      <c r="E49" s="42" t="s">
        <v>95</v>
      </c>
      <c r="F49" s="39" t="s">
        <v>53</v>
      </c>
      <c r="G49" s="24" t="s">
        <v>62</v>
      </c>
      <c r="H49" s="136">
        <v>2851.575423199997</v>
      </c>
      <c r="I49" s="149">
        <v>8248</v>
      </c>
      <c r="J49" s="136">
        <f>I49*$J$1</f>
        <v>824.8000000000001</v>
      </c>
      <c r="K49" s="136">
        <v>0</v>
      </c>
      <c r="L49" s="139"/>
      <c r="M49" s="139"/>
      <c r="N49" s="136"/>
      <c r="O49" s="11"/>
      <c r="P49" s="136"/>
      <c r="Q49" s="140"/>
      <c r="R49" s="136"/>
      <c r="S49" s="136"/>
      <c r="T49" s="136"/>
      <c r="U49" s="136">
        <f aca="true" t="shared" si="11" ref="U49:U56">H49+J49+K49+N49+P49+R49+S49+T49</f>
        <v>3676.3754231999974</v>
      </c>
    </row>
    <row r="50" spans="1:21" ht="15" outlineLevel="2">
      <c r="A50" s="6" t="s">
        <v>102</v>
      </c>
      <c r="B50" s="11" t="s">
        <v>92</v>
      </c>
      <c r="C50" s="11" t="s">
        <v>93</v>
      </c>
      <c r="D50" s="13" t="s">
        <v>103</v>
      </c>
      <c r="E50" s="42" t="s">
        <v>95</v>
      </c>
      <c r="F50" s="39" t="s">
        <v>53</v>
      </c>
      <c r="G50" s="24" t="s">
        <v>63</v>
      </c>
      <c r="H50" s="136">
        <v>310.9025598000001</v>
      </c>
      <c r="I50" s="149">
        <v>155</v>
      </c>
      <c r="J50" s="136">
        <f>I50*$J$2</f>
        <v>9.299999999999999</v>
      </c>
      <c r="K50" s="136">
        <v>0</v>
      </c>
      <c r="L50" s="139"/>
      <c r="M50" s="139"/>
      <c r="N50" s="136"/>
      <c r="O50" s="11"/>
      <c r="P50" s="136"/>
      <c r="Q50" s="140"/>
      <c r="R50" s="136"/>
      <c r="S50" s="136"/>
      <c r="T50" s="136"/>
      <c r="U50" s="136">
        <f t="shared" si="11"/>
        <v>320.20255980000013</v>
      </c>
    </row>
    <row r="51" spans="1:21" ht="15" outlineLevel="2">
      <c r="A51" s="6" t="s">
        <v>102</v>
      </c>
      <c r="B51" s="11" t="s">
        <v>92</v>
      </c>
      <c r="C51" s="11" t="s">
        <v>93</v>
      </c>
      <c r="D51" s="13" t="s">
        <v>103</v>
      </c>
      <c r="E51" s="42" t="s">
        <v>95</v>
      </c>
      <c r="F51" s="39" t="s">
        <v>53</v>
      </c>
      <c r="G51" s="24" t="s">
        <v>64</v>
      </c>
      <c r="H51" s="136">
        <v>1221.886393</v>
      </c>
      <c r="I51" s="149">
        <v>1075</v>
      </c>
      <c r="J51" s="136">
        <f>I51*$J$2</f>
        <v>64.5</v>
      </c>
      <c r="K51" s="136">
        <v>60</v>
      </c>
      <c r="L51" s="139"/>
      <c r="M51" s="139"/>
      <c r="N51" s="136"/>
      <c r="O51" s="11"/>
      <c r="P51" s="136"/>
      <c r="Q51" s="140"/>
      <c r="R51" s="136"/>
      <c r="S51" s="136"/>
      <c r="T51" s="136"/>
      <c r="U51" s="136">
        <f t="shared" si="11"/>
        <v>1346.386393</v>
      </c>
    </row>
    <row r="52" spans="1:21" ht="15" outlineLevel="2">
      <c r="A52" s="6" t="s">
        <v>102</v>
      </c>
      <c r="B52" s="11" t="s">
        <v>92</v>
      </c>
      <c r="C52" s="11" t="s">
        <v>93</v>
      </c>
      <c r="D52" s="13" t="s">
        <v>103</v>
      </c>
      <c r="E52" s="42" t="s">
        <v>95</v>
      </c>
      <c r="F52" s="39" t="s">
        <v>53</v>
      </c>
      <c r="G52" s="24" t="s">
        <v>65</v>
      </c>
      <c r="H52" s="136">
        <v>170.9773758</v>
      </c>
      <c r="I52" s="149">
        <v>281</v>
      </c>
      <c r="J52" s="136">
        <f>I52*$J$2</f>
        <v>16.86</v>
      </c>
      <c r="K52" s="136">
        <v>0</v>
      </c>
      <c r="L52" s="139"/>
      <c r="M52" s="139"/>
      <c r="N52" s="136"/>
      <c r="O52" s="11"/>
      <c r="P52" s="136"/>
      <c r="Q52" s="140"/>
      <c r="R52" s="136"/>
      <c r="S52" s="136"/>
      <c r="T52" s="136"/>
      <c r="U52" s="136">
        <f t="shared" si="11"/>
        <v>187.83737580000002</v>
      </c>
    </row>
    <row r="53" spans="1:21" ht="15" outlineLevel="2">
      <c r="A53" s="6" t="s">
        <v>102</v>
      </c>
      <c r="B53" s="11" t="s">
        <v>92</v>
      </c>
      <c r="C53" s="11" t="s">
        <v>93</v>
      </c>
      <c r="D53" s="13" t="s">
        <v>103</v>
      </c>
      <c r="E53" s="42" t="s">
        <v>95</v>
      </c>
      <c r="F53" s="39" t="s">
        <v>53</v>
      </c>
      <c r="G53" s="24" t="s">
        <v>66</v>
      </c>
      <c r="H53" s="136">
        <v>800.5924682000001</v>
      </c>
      <c r="I53" s="149">
        <v>873</v>
      </c>
      <c r="J53" s="136">
        <f>I53*$J$2</f>
        <v>52.379999999999995</v>
      </c>
      <c r="K53" s="136">
        <v>120</v>
      </c>
      <c r="L53" s="139"/>
      <c r="M53" s="139"/>
      <c r="N53" s="136"/>
      <c r="O53" s="11"/>
      <c r="P53" s="136"/>
      <c r="Q53" s="140"/>
      <c r="R53" s="136"/>
      <c r="S53" s="136"/>
      <c r="T53" s="136"/>
      <c r="U53" s="136">
        <f t="shared" si="11"/>
        <v>972.9724682000001</v>
      </c>
    </row>
    <row r="54" spans="1:21" ht="15" outlineLevel="2">
      <c r="A54" s="6" t="s">
        <v>102</v>
      </c>
      <c r="B54" s="11" t="s">
        <v>92</v>
      </c>
      <c r="C54" s="11" t="s">
        <v>93</v>
      </c>
      <c r="D54" s="13" t="s">
        <v>103</v>
      </c>
      <c r="E54" s="42" t="s">
        <v>95</v>
      </c>
      <c r="F54" s="39" t="s">
        <v>53</v>
      </c>
      <c r="G54" s="11" t="s">
        <v>104</v>
      </c>
      <c r="H54" s="136">
        <v>2.453724</v>
      </c>
      <c r="I54" s="140">
        <v>2</v>
      </c>
      <c r="J54" s="136">
        <f>I54*$J$2</f>
        <v>0.12</v>
      </c>
      <c r="K54" s="136">
        <v>0</v>
      </c>
      <c r="L54" s="139"/>
      <c r="M54" s="139"/>
      <c r="N54" s="136"/>
      <c r="O54" s="11"/>
      <c r="P54" s="136"/>
      <c r="Q54" s="140"/>
      <c r="R54" s="136"/>
      <c r="S54" s="136"/>
      <c r="T54" s="136"/>
      <c r="U54" s="136">
        <f t="shared" si="11"/>
        <v>2.573724</v>
      </c>
    </row>
    <row r="55" spans="1:21" ht="15" outlineLevel="2">
      <c r="A55" s="6" t="s">
        <v>102</v>
      </c>
      <c r="B55" s="17" t="s">
        <v>92</v>
      </c>
      <c r="C55" s="17" t="s">
        <v>93</v>
      </c>
      <c r="D55" s="13">
        <v>403350</v>
      </c>
      <c r="E55" s="18" t="s">
        <v>95</v>
      </c>
      <c r="F55" s="39" t="s">
        <v>585</v>
      </c>
      <c r="G55" s="18" t="s">
        <v>592</v>
      </c>
      <c r="H55" s="136"/>
      <c r="I55" s="140"/>
      <c r="J55" s="136"/>
      <c r="K55" s="136"/>
      <c r="L55" s="139">
        <v>2.2</v>
      </c>
      <c r="M55" s="139">
        <v>0.13</v>
      </c>
      <c r="N55" s="136">
        <f>L55*M55*$N$2</f>
        <v>896.6100000000001</v>
      </c>
      <c r="O55" s="136"/>
      <c r="P55" s="136"/>
      <c r="Q55" s="140"/>
      <c r="R55" s="136"/>
      <c r="S55" s="136"/>
      <c r="T55" s="136"/>
      <c r="U55" s="136">
        <f t="shared" si="11"/>
        <v>896.6100000000001</v>
      </c>
    </row>
    <row r="56" spans="1:21" ht="15" outlineLevel="2">
      <c r="A56" s="36" t="s">
        <v>638</v>
      </c>
      <c r="B56" s="11" t="str">
        <f>B55</f>
        <v>DOH-CHS</v>
      </c>
      <c r="C56" s="11" t="str">
        <f>C55</f>
        <v>COMM. HEALTH SERVICES</v>
      </c>
      <c r="D56" s="13">
        <f>D55</f>
        <v>403350</v>
      </c>
      <c r="E56" s="27" t="str">
        <f>E55</f>
        <v>40-30</v>
      </c>
      <c r="F56" s="20" t="s">
        <v>683</v>
      </c>
      <c r="G56" s="11" t="s">
        <v>683</v>
      </c>
      <c r="H56" s="136"/>
      <c r="I56" s="140"/>
      <c r="J56" s="136"/>
      <c r="K56" s="136"/>
      <c r="L56" s="139"/>
      <c r="M56" s="139"/>
      <c r="N56" s="136"/>
      <c r="O56" s="34"/>
      <c r="P56" s="136"/>
      <c r="Q56" s="140"/>
      <c r="R56" s="136"/>
      <c r="S56" s="136"/>
      <c r="T56" s="150">
        <f>39.73+9.96</f>
        <v>49.69</v>
      </c>
      <c r="U56" s="136">
        <f t="shared" si="11"/>
        <v>49.69</v>
      </c>
    </row>
    <row r="57" spans="1:21" s="5" customFormat="1" ht="15.75" outlineLevel="1">
      <c r="A57" s="1" t="s">
        <v>885</v>
      </c>
      <c r="B57" s="172"/>
      <c r="C57" s="2"/>
      <c r="D57" s="19"/>
      <c r="E57" s="44"/>
      <c r="F57" s="51"/>
      <c r="G57" s="2"/>
      <c r="H57" s="137">
        <f aca="true" t="shared" si="12" ref="H57:U57">SUBTOTAL(9,H49:H56)</f>
        <v>5358.387943999998</v>
      </c>
      <c r="I57" s="144">
        <f t="shared" si="12"/>
        <v>10634</v>
      </c>
      <c r="J57" s="137">
        <f t="shared" si="12"/>
        <v>967.96</v>
      </c>
      <c r="K57" s="137">
        <f t="shared" si="12"/>
        <v>180</v>
      </c>
      <c r="L57" s="141">
        <f t="shared" si="12"/>
        <v>2.2</v>
      </c>
      <c r="M57" s="141">
        <f t="shared" si="12"/>
        <v>0.13</v>
      </c>
      <c r="N57" s="137">
        <f t="shared" si="12"/>
        <v>896.6100000000001</v>
      </c>
      <c r="O57" s="45">
        <f t="shared" si="12"/>
        <v>0</v>
      </c>
      <c r="P57" s="137">
        <f t="shared" si="12"/>
        <v>0</v>
      </c>
      <c r="Q57" s="167">
        <f t="shared" si="12"/>
        <v>0</v>
      </c>
      <c r="R57" s="137">
        <f t="shared" si="12"/>
        <v>0</v>
      </c>
      <c r="S57" s="137">
        <f t="shared" si="12"/>
        <v>0</v>
      </c>
      <c r="T57" s="137">
        <f t="shared" si="12"/>
        <v>49.69</v>
      </c>
      <c r="U57" s="137">
        <f t="shared" si="12"/>
        <v>7452.647943999998</v>
      </c>
    </row>
    <row r="58" spans="1:21" ht="15" outlineLevel="2">
      <c r="A58" s="6" t="s">
        <v>105</v>
      </c>
      <c r="B58" s="11" t="s">
        <v>68</v>
      </c>
      <c r="C58" s="11" t="s">
        <v>97</v>
      </c>
      <c r="D58" s="13" t="s">
        <v>106</v>
      </c>
      <c r="E58" s="42" t="s">
        <v>99</v>
      </c>
      <c r="F58" s="39" t="s">
        <v>53</v>
      </c>
      <c r="G58" s="24" t="s">
        <v>62</v>
      </c>
      <c r="H58" s="136">
        <v>2.8920388</v>
      </c>
      <c r="I58" s="149">
        <v>8</v>
      </c>
      <c r="J58" s="136">
        <f>I58*$J$1</f>
        <v>0.8</v>
      </c>
      <c r="K58" s="136">
        <v>90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aca="true" t="shared" si="13" ref="U58:U63">H58+J58+K58+N58+P58+R58+S58+T58</f>
        <v>93.6920388</v>
      </c>
    </row>
    <row r="59" spans="1:21" ht="15" outlineLevel="2">
      <c r="A59" s="6" t="s">
        <v>105</v>
      </c>
      <c r="B59" s="11" t="s">
        <v>68</v>
      </c>
      <c r="C59" s="11" t="s">
        <v>97</v>
      </c>
      <c r="D59" s="13" t="s">
        <v>106</v>
      </c>
      <c r="E59" s="42" t="s">
        <v>99</v>
      </c>
      <c r="F59" s="39" t="s">
        <v>53</v>
      </c>
      <c r="G59" s="24" t="s">
        <v>63</v>
      </c>
      <c r="H59" s="136">
        <v>125.391588</v>
      </c>
      <c r="I59" s="149">
        <v>27</v>
      </c>
      <c r="J59" s="136">
        <f>I59*$J$2</f>
        <v>1.6199999999999999</v>
      </c>
      <c r="K59" s="136">
        <v>60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3"/>
        <v>187.01158800000002</v>
      </c>
    </row>
    <row r="60" spans="1:21" ht="15" outlineLevel="2">
      <c r="A60" s="6" t="s">
        <v>105</v>
      </c>
      <c r="B60" s="11" t="s">
        <v>68</v>
      </c>
      <c r="C60" s="11" t="s">
        <v>97</v>
      </c>
      <c r="D60" s="13" t="s">
        <v>106</v>
      </c>
      <c r="E60" s="42" t="s">
        <v>99</v>
      </c>
      <c r="F60" s="39" t="s">
        <v>53</v>
      </c>
      <c r="G60" s="24" t="s">
        <v>64</v>
      </c>
      <c r="H60" s="136">
        <v>17.762235399999998</v>
      </c>
      <c r="I60" s="149">
        <v>16</v>
      </c>
      <c r="J60" s="136">
        <f>I60*$J$2</f>
        <v>0.96</v>
      </c>
      <c r="K60" s="136">
        <v>30</v>
      </c>
      <c r="L60" s="139"/>
      <c r="M60" s="139"/>
      <c r="N60" s="136"/>
      <c r="O60" s="11"/>
      <c r="P60" s="136"/>
      <c r="Q60" s="140"/>
      <c r="R60" s="136"/>
      <c r="S60" s="136"/>
      <c r="T60" s="136"/>
      <c r="U60" s="136">
        <f t="shared" si="13"/>
        <v>48.7222354</v>
      </c>
    </row>
    <row r="61" spans="1:21" ht="15" outlineLevel="2">
      <c r="A61" s="6" t="s">
        <v>105</v>
      </c>
      <c r="B61" s="17" t="s">
        <v>68</v>
      </c>
      <c r="C61" s="17" t="s">
        <v>97</v>
      </c>
      <c r="D61" s="13">
        <v>402410</v>
      </c>
      <c r="E61" s="18" t="s">
        <v>99</v>
      </c>
      <c r="F61" s="39" t="s">
        <v>585</v>
      </c>
      <c r="G61" s="18" t="s">
        <v>592</v>
      </c>
      <c r="H61" s="136"/>
      <c r="I61" s="149"/>
      <c r="J61" s="136"/>
      <c r="K61" s="136"/>
      <c r="L61" s="139">
        <v>1</v>
      </c>
      <c r="M61" s="139">
        <v>0.15</v>
      </c>
      <c r="N61" s="136">
        <f>L61*M61*$N$2</f>
        <v>470.25</v>
      </c>
      <c r="O61" s="11"/>
      <c r="P61" s="136"/>
      <c r="Q61" s="140"/>
      <c r="R61" s="136"/>
      <c r="S61" s="136"/>
      <c r="T61" s="136"/>
      <c r="U61" s="136">
        <f t="shared" si="13"/>
        <v>470.25</v>
      </c>
    </row>
    <row r="62" spans="1:21" ht="15" outlineLevel="2">
      <c r="A62" s="28" t="s">
        <v>105</v>
      </c>
      <c r="B62" s="11" t="str">
        <f aca="true" t="shared" si="14" ref="B62:E63">B61</f>
        <v>DOH</v>
      </c>
      <c r="C62" s="11" t="str">
        <f t="shared" si="14"/>
        <v>HEALTH OFFICER</v>
      </c>
      <c r="D62" s="13">
        <f t="shared" si="14"/>
        <v>402410</v>
      </c>
      <c r="E62" s="38" t="str">
        <f t="shared" si="14"/>
        <v>40-20</v>
      </c>
      <c r="F62" s="20" t="s">
        <v>615</v>
      </c>
      <c r="G62" s="11" t="s">
        <v>615</v>
      </c>
      <c r="H62" s="136"/>
      <c r="I62" s="140"/>
      <c r="J62" s="136"/>
      <c r="K62" s="136"/>
      <c r="L62" s="139"/>
      <c r="M62" s="139"/>
      <c r="N62" s="136"/>
      <c r="O62" s="29">
        <v>6</v>
      </c>
      <c r="P62" s="136">
        <f>O62*$P$2</f>
        <v>432</v>
      </c>
      <c r="Q62" s="140"/>
      <c r="R62" s="136"/>
      <c r="S62" s="136"/>
      <c r="T62" s="136"/>
      <c r="U62" s="136">
        <f t="shared" si="13"/>
        <v>432</v>
      </c>
    </row>
    <row r="63" spans="1:21" ht="15" outlineLevel="2">
      <c r="A63" s="36" t="s">
        <v>639</v>
      </c>
      <c r="B63" s="11" t="str">
        <f t="shared" si="14"/>
        <v>DOH</v>
      </c>
      <c r="C63" s="11" t="str">
        <f t="shared" si="14"/>
        <v>HEALTH OFFICER</v>
      </c>
      <c r="D63" s="13">
        <f t="shared" si="14"/>
        <v>402410</v>
      </c>
      <c r="E63" s="27" t="str">
        <f t="shared" si="14"/>
        <v>40-20</v>
      </c>
      <c r="F63" s="20" t="s">
        <v>683</v>
      </c>
      <c r="G63" s="11" t="s">
        <v>683</v>
      </c>
      <c r="H63" s="136"/>
      <c r="I63" s="140"/>
      <c r="J63" s="136"/>
      <c r="K63" s="136"/>
      <c r="L63" s="139"/>
      <c r="M63" s="139"/>
      <c r="N63" s="136"/>
      <c r="O63" s="34"/>
      <c r="P63" s="136"/>
      <c r="Q63" s="140"/>
      <c r="R63" s="136"/>
      <c r="S63" s="136"/>
      <c r="T63" s="150">
        <v>10.42</v>
      </c>
      <c r="U63" s="136">
        <f t="shared" si="13"/>
        <v>10.42</v>
      </c>
    </row>
    <row r="64" spans="1:21" s="5" customFormat="1" ht="15.75" outlineLevel="1">
      <c r="A64" s="1" t="s">
        <v>886</v>
      </c>
      <c r="B64" s="172"/>
      <c r="C64" s="2"/>
      <c r="D64" s="19"/>
      <c r="E64" s="44"/>
      <c r="F64" s="51"/>
      <c r="G64" s="2"/>
      <c r="H64" s="137">
        <f aca="true" t="shared" si="15" ref="H64:U64">SUBTOTAL(9,H58:H63)</f>
        <v>146.04586220000002</v>
      </c>
      <c r="I64" s="144">
        <f t="shared" si="15"/>
        <v>51</v>
      </c>
      <c r="J64" s="137">
        <f t="shared" si="15"/>
        <v>3.38</v>
      </c>
      <c r="K64" s="137">
        <f t="shared" si="15"/>
        <v>180</v>
      </c>
      <c r="L64" s="141">
        <f t="shared" si="15"/>
        <v>1</v>
      </c>
      <c r="M64" s="141">
        <f t="shared" si="15"/>
        <v>0.15</v>
      </c>
      <c r="N64" s="137">
        <f t="shared" si="15"/>
        <v>470.25</v>
      </c>
      <c r="O64" s="45">
        <f t="shared" si="15"/>
        <v>6</v>
      </c>
      <c r="P64" s="137">
        <f t="shared" si="15"/>
        <v>432</v>
      </c>
      <c r="Q64" s="167">
        <f t="shared" si="15"/>
        <v>0</v>
      </c>
      <c r="R64" s="137">
        <f t="shared" si="15"/>
        <v>0</v>
      </c>
      <c r="S64" s="137">
        <f t="shared" si="15"/>
        <v>0</v>
      </c>
      <c r="T64" s="137">
        <f t="shared" si="15"/>
        <v>10.42</v>
      </c>
      <c r="U64" s="137">
        <f t="shared" si="15"/>
        <v>1242.0958622</v>
      </c>
    </row>
    <row r="65" spans="1:21" ht="15" outlineLevel="2">
      <c r="A65" s="6" t="s">
        <v>107</v>
      </c>
      <c r="B65" s="11" t="s">
        <v>68</v>
      </c>
      <c r="C65" s="11" t="s">
        <v>108</v>
      </c>
      <c r="D65" s="13" t="s">
        <v>109</v>
      </c>
      <c r="E65" s="42" t="s">
        <v>110</v>
      </c>
      <c r="F65" s="39" t="s">
        <v>53</v>
      </c>
      <c r="G65" s="24" t="s">
        <v>62</v>
      </c>
      <c r="H65" s="136">
        <v>0.3271632</v>
      </c>
      <c r="I65" s="149">
        <v>1</v>
      </c>
      <c r="J65" s="136">
        <f>I65*$J$1</f>
        <v>0.1</v>
      </c>
      <c r="K65" s="136">
        <v>15</v>
      </c>
      <c r="L65" s="139"/>
      <c r="M65" s="139"/>
      <c r="N65" s="136"/>
      <c r="O65" s="11"/>
      <c r="P65" s="136"/>
      <c r="Q65" s="140"/>
      <c r="R65" s="136"/>
      <c r="S65" s="136"/>
      <c r="T65" s="136"/>
      <c r="U65" s="136">
        <f>H65+J65+K65+N65+P65+R65+S65+T65</f>
        <v>15.4271632</v>
      </c>
    </row>
    <row r="66" spans="1:21" ht="15" outlineLevel="2">
      <c r="A66" s="6" t="s">
        <v>107</v>
      </c>
      <c r="B66" s="17" t="s">
        <v>68</v>
      </c>
      <c r="C66" s="17" t="s">
        <v>108</v>
      </c>
      <c r="D66" s="13">
        <v>409305</v>
      </c>
      <c r="E66" s="18" t="s">
        <v>110</v>
      </c>
      <c r="F66" s="39" t="s">
        <v>585</v>
      </c>
      <c r="G66" s="18" t="s">
        <v>592</v>
      </c>
      <c r="H66" s="136"/>
      <c r="I66" s="149"/>
      <c r="J66" s="136"/>
      <c r="K66" s="136"/>
      <c r="L66" s="139">
        <v>1</v>
      </c>
      <c r="M66" s="139">
        <v>0.15</v>
      </c>
      <c r="N66" s="136">
        <f>L66*M66*$N$2</f>
        <v>470.25</v>
      </c>
      <c r="O66" s="11"/>
      <c r="P66" s="136"/>
      <c r="Q66" s="140"/>
      <c r="R66" s="136"/>
      <c r="S66" s="136"/>
      <c r="T66" s="136"/>
      <c r="U66" s="136">
        <f>H66+J66+K66+N66+P66+R66+S66+T66</f>
        <v>470.25</v>
      </c>
    </row>
    <row r="67" spans="1:21" ht="15" outlineLevel="2">
      <c r="A67" s="28" t="s">
        <v>107</v>
      </c>
      <c r="B67" s="11" t="str">
        <f>B66</f>
        <v>DOH</v>
      </c>
      <c r="C67" s="11" t="str">
        <f>C66</f>
        <v>BUSINESS &amp; QUALITY</v>
      </c>
      <c r="D67" s="13">
        <f>D66</f>
        <v>409305</v>
      </c>
      <c r="E67" s="38" t="str">
        <f>E66</f>
        <v>40-90</v>
      </c>
      <c r="F67" s="20" t="s">
        <v>615</v>
      </c>
      <c r="G67" s="11" t="s">
        <v>615</v>
      </c>
      <c r="H67" s="136"/>
      <c r="I67" s="140"/>
      <c r="J67" s="136"/>
      <c r="K67" s="136"/>
      <c r="L67" s="139"/>
      <c r="M67" s="139"/>
      <c r="N67" s="136"/>
      <c r="O67" s="29">
        <v>0.25</v>
      </c>
      <c r="P67" s="136">
        <f>O67*$P$2</f>
        <v>18</v>
      </c>
      <c r="Q67" s="140"/>
      <c r="R67" s="136"/>
      <c r="S67" s="136"/>
      <c r="T67" s="136"/>
      <c r="U67" s="136">
        <f>H67+J67+K67+N67+P67+R67+S67+T67</f>
        <v>18</v>
      </c>
    </row>
    <row r="68" spans="1:21" s="5" customFormat="1" ht="15.75" outlineLevel="1">
      <c r="A68" s="1" t="s">
        <v>887</v>
      </c>
      <c r="B68" s="172"/>
      <c r="C68" s="2"/>
      <c r="D68" s="19"/>
      <c r="E68" s="44"/>
      <c r="F68" s="51"/>
      <c r="G68" s="2"/>
      <c r="H68" s="137">
        <f aca="true" t="shared" si="16" ref="H68:U68">SUBTOTAL(9,H65:H67)</f>
        <v>0.3271632</v>
      </c>
      <c r="I68" s="144">
        <f t="shared" si="16"/>
        <v>1</v>
      </c>
      <c r="J68" s="137">
        <f t="shared" si="16"/>
        <v>0.1</v>
      </c>
      <c r="K68" s="137">
        <f t="shared" si="16"/>
        <v>15</v>
      </c>
      <c r="L68" s="141">
        <f t="shared" si="16"/>
        <v>1</v>
      </c>
      <c r="M68" s="141">
        <f t="shared" si="16"/>
        <v>0.15</v>
      </c>
      <c r="N68" s="137">
        <f t="shared" si="16"/>
        <v>470.25</v>
      </c>
      <c r="O68" s="45">
        <f t="shared" si="16"/>
        <v>0.25</v>
      </c>
      <c r="P68" s="137">
        <f t="shared" si="16"/>
        <v>18</v>
      </c>
      <c r="Q68" s="167">
        <f t="shared" si="16"/>
        <v>0</v>
      </c>
      <c r="R68" s="137">
        <f t="shared" si="16"/>
        <v>0</v>
      </c>
      <c r="S68" s="137">
        <f t="shared" si="16"/>
        <v>0</v>
      </c>
      <c r="T68" s="137">
        <f t="shared" si="16"/>
        <v>0</v>
      </c>
      <c r="U68" s="137">
        <f t="shared" si="16"/>
        <v>503.6771632</v>
      </c>
    </row>
    <row r="69" spans="1:21" ht="15" outlineLevel="2">
      <c r="A69" s="6" t="s">
        <v>111</v>
      </c>
      <c r="B69" s="11" t="s">
        <v>92</v>
      </c>
      <c r="C69" s="11" t="s">
        <v>112</v>
      </c>
      <c r="D69" s="13" t="s">
        <v>113</v>
      </c>
      <c r="E69" s="42" t="s">
        <v>114</v>
      </c>
      <c r="F69" s="39" t="s">
        <v>53</v>
      </c>
      <c r="G69" s="24" t="s">
        <v>63</v>
      </c>
      <c r="H69" s="136">
        <v>16.924404</v>
      </c>
      <c r="I69" s="149">
        <v>7</v>
      </c>
      <c r="J69" s="136">
        <f>I69*$J$2</f>
        <v>0.42</v>
      </c>
      <c r="K69" s="136">
        <v>30</v>
      </c>
      <c r="L69" s="139"/>
      <c r="M69" s="139"/>
      <c r="N69" s="136"/>
      <c r="O69" s="11"/>
      <c r="P69" s="136"/>
      <c r="Q69" s="140"/>
      <c r="R69" s="136"/>
      <c r="S69" s="136"/>
      <c r="T69" s="136"/>
      <c r="U69" s="136">
        <f>H69+J69+K69+N69+P69+R69+S69+T69</f>
        <v>47.344404</v>
      </c>
    </row>
    <row r="70" spans="1:21" ht="15" outlineLevel="2">
      <c r="A70" s="6" t="s">
        <v>111</v>
      </c>
      <c r="B70" s="11" t="s">
        <v>92</v>
      </c>
      <c r="C70" s="11" t="s">
        <v>112</v>
      </c>
      <c r="D70" s="13" t="s">
        <v>113</v>
      </c>
      <c r="E70" s="42" t="s">
        <v>114</v>
      </c>
      <c r="F70" s="39" t="s">
        <v>53</v>
      </c>
      <c r="G70" s="24" t="s">
        <v>64</v>
      </c>
      <c r="H70" s="136">
        <v>106.7516744</v>
      </c>
      <c r="I70" s="149">
        <v>99</v>
      </c>
      <c r="J70" s="136">
        <f>I70*$J$2</f>
        <v>5.9399999999999995</v>
      </c>
      <c r="K70" s="136">
        <v>45</v>
      </c>
      <c r="L70" s="139"/>
      <c r="M70" s="139"/>
      <c r="N70" s="136"/>
      <c r="O70" s="11"/>
      <c r="P70" s="136"/>
      <c r="Q70" s="140"/>
      <c r="R70" s="136"/>
      <c r="S70" s="136"/>
      <c r="T70" s="136"/>
      <c r="U70" s="136">
        <f>H70+J70+K70+N70+P70+R70+S70+T70</f>
        <v>157.6916744</v>
      </c>
    </row>
    <row r="71" spans="1:21" ht="15" outlineLevel="2">
      <c r="A71" s="6" t="s">
        <v>111</v>
      </c>
      <c r="B71" s="11" t="s">
        <v>92</v>
      </c>
      <c r="C71" s="11" t="s">
        <v>112</v>
      </c>
      <c r="D71" s="13" t="s">
        <v>113</v>
      </c>
      <c r="E71" s="42" t="s">
        <v>114</v>
      </c>
      <c r="F71" s="39" t="s">
        <v>53</v>
      </c>
      <c r="G71" s="24" t="s">
        <v>65</v>
      </c>
      <c r="H71" s="136">
        <v>9.405942</v>
      </c>
      <c r="I71" s="149">
        <v>20</v>
      </c>
      <c r="J71" s="136">
        <f>I71*$J$2</f>
        <v>1.2</v>
      </c>
      <c r="K71" s="136">
        <v>60</v>
      </c>
      <c r="L71" s="139"/>
      <c r="M71" s="139"/>
      <c r="N71" s="136"/>
      <c r="O71" s="11"/>
      <c r="P71" s="136"/>
      <c r="Q71" s="140"/>
      <c r="R71" s="136"/>
      <c r="S71" s="136"/>
      <c r="T71" s="136"/>
      <c r="U71" s="136">
        <f>H71+J71+K71+N71+P71+R71+S71+T71</f>
        <v>70.605942</v>
      </c>
    </row>
    <row r="72" spans="1:21" ht="15" outlineLevel="2">
      <c r="A72" s="6" t="s">
        <v>111</v>
      </c>
      <c r="B72" s="11" t="s">
        <v>92</v>
      </c>
      <c r="C72" s="11" t="s">
        <v>112</v>
      </c>
      <c r="D72" s="13" t="s">
        <v>113</v>
      </c>
      <c r="E72" s="42" t="s">
        <v>114</v>
      </c>
      <c r="F72" s="39" t="s">
        <v>53</v>
      </c>
      <c r="G72" s="24" t="s">
        <v>66</v>
      </c>
      <c r="H72" s="136">
        <v>101.944892</v>
      </c>
      <c r="I72" s="149">
        <v>116</v>
      </c>
      <c r="J72" s="136">
        <f>I72*$J$2</f>
        <v>6.96</v>
      </c>
      <c r="K72" s="136">
        <v>45</v>
      </c>
      <c r="L72" s="139"/>
      <c r="M72" s="139"/>
      <c r="N72" s="136"/>
      <c r="O72" s="11"/>
      <c r="P72" s="136"/>
      <c r="Q72" s="140"/>
      <c r="R72" s="136"/>
      <c r="S72" s="136"/>
      <c r="T72" s="136"/>
      <c r="U72" s="136">
        <f>H72+J72+K72+N72+P72+R72+S72+T72</f>
        <v>153.904892</v>
      </c>
    </row>
    <row r="73" spans="1:21" s="5" customFormat="1" ht="15.75" outlineLevel="1">
      <c r="A73" s="1" t="s">
        <v>888</v>
      </c>
      <c r="B73" s="172"/>
      <c r="C73" s="2"/>
      <c r="D73" s="19"/>
      <c r="E73" s="44"/>
      <c r="F73" s="51"/>
      <c r="G73" s="2"/>
      <c r="H73" s="137">
        <f aca="true" t="shared" si="17" ref="H73:U73">SUBTOTAL(9,H69:H72)</f>
        <v>235.02691240000001</v>
      </c>
      <c r="I73" s="144">
        <f t="shared" si="17"/>
        <v>242</v>
      </c>
      <c r="J73" s="137">
        <f t="shared" si="17"/>
        <v>14.52</v>
      </c>
      <c r="K73" s="137">
        <f t="shared" si="17"/>
        <v>180</v>
      </c>
      <c r="L73" s="141">
        <f t="shared" si="17"/>
        <v>0</v>
      </c>
      <c r="M73" s="141">
        <f t="shared" si="17"/>
        <v>0</v>
      </c>
      <c r="N73" s="137">
        <f t="shared" si="17"/>
        <v>0</v>
      </c>
      <c r="O73" s="45">
        <f t="shared" si="17"/>
        <v>0</v>
      </c>
      <c r="P73" s="137">
        <f t="shared" si="17"/>
        <v>0</v>
      </c>
      <c r="Q73" s="167">
        <f t="shared" si="17"/>
        <v>0</v>
      </c>
      <c r="R73" s="137">
        <f t="shared" si="17"/>
        <v>0</v>
      </c>
      <c r="S73" s="137">
        <f t="shared" si="17"/>
        <v>0</v>
      </c>
      <c r="T73" s="137">
        <f t="shared" si="17"/>
        <v>0</v>
      </c>
      <c r="U73" s="137">
        <f t="shared" si="17"/>
        <v>429.5469124</v>
      </c>
    </row>
    <row r="74" spans="1:21" ht="15" outlineLevel="2">
      <c r="A74" s="6" t="s">
        <v>115</v>
      </c>
      <c r="B74" s="11" t="s">
        <v>92</v>
      </c>
      <c r="C74" s="11" t="s">
        <v>93</v>
      </c>
      <c r="D74" s="13" t="s">
        <v>116</v>
      </c>
      <c r="E74" s="42" t="s">
        <v>95</v>
      </c>
      <c r="F74" s="39" t="s">
        <v>53</v>
      </c>
      <c r="G74" s="24" t="s">
        <v>62</v>
      </c>
      <c r="H74" s="136">
        <v>2.0940542</v>
      </c>
      <c r="I74" s="149">
        <v>6</v>
      </c>
      <c r="J74" s="136">
        <f>I74*$J$1</f>
        <v>0.6000000000000001</v>
      </c>
      <c r="K74" s="136">
        <v>60</v>
      </c>
      <c r="L74" s="139"/>
      <c r="M74" s="139"/>
      <c r="N74" s="136"/>
      <c r="O74" s="11"/>
      <c r="P74" s="136"/>
      <c r="Q74" s="140"/>
      <c r="R74" s="136"/>
      <c r="S74" s="136"/>
      <c r="T74" s="136"/>
      <c r="U74" s="136">
        <f aca="true" t="shared" si="18" ref="U74:U79">H74+J74+K74+N74+P74+R74+S74+T74</f>
        <v>62.6940542</v>
      </c>
    </row>
    <row r="75" spans="1:21" ht="15" outlineLevel="2">
      <c r="A75" s="6" t="s">
        <v>115</v>
      </c>
      <c r="B75" s="11" t="s">
        <v>92</v>
      </c>
      <c r="C75" s="11" t="s">
        <v>93</v>
      </c>
      <c r="D75" s="13" t="s">
        <v>116</v>
      </c>
      <c r="E75" s="42" t="s">
        <v>95</v>
      </c>
      <c r="F75" s="39" t="s">
        <v>53</v>
      </c>
      <c r="G75" s="11" t="s">
        <v>63</v>
      </c>
      <c r="H75" s="136">
        <v>2.076228</v>
      </c>
      <c r="I75" s="140">
        <v>1</v>
      </c>
      <c r="J75" s="136">
        <f>I75*$J$2</f>
        <v>0.06</v>
      </c>
      <c r="K75" s="136">
        <v>0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t="shared" si="18"/>
        <v>2.136228</v>
      </c>
    </row>
    <row r="76" spans="1:21" ht="15" outlineLevel="2">
      <c r="A76" s="6" t="s">
        <v>115</v>
      </c>
      <c r="B76" s="11" t="s">
        <v>92</v>
      </c>
      <c r="C76" s="11" t="s">
        <v>93</v>
      </c>
      <c r="D76" s="13" t="s">
        <v>116</v>
      </c>
      <c r="E76" s="42" t="s">
        <v>95</v>
      </c>
      <c r="F76" s="39" t="s">
        <v>53</v>
      </c>
      <c r="G76" s="11" t="s">
        <v>64</v>
      </c>
      <c r="H76" s="136">
        <v>5.1580634</v>
      </c>
      <c r="I76" s="140">
        <v>5</v>
      </c>
      <c r="J76" s="136">
        <f>I76*$J$2</f>
        <v>0.3</v>
      </c>
      <c r="K76" s="136">
        <v>30</v>
      </c>
      <c r="L76" s="139"/>
      <c r="M76" s="139"/>
      <c r="N76" s="136"/>
      <c r="O76" s="11"/>
      <c r="P76" s="136"/>
      <c r="Q76" s="140"/>
      <c r="R76" s="136"/>
      <c r="S76" s="136"/>
      <c r="T76" s="136"/>
      <c r="U76" s="136">
        <f t="shared" si="18"/>
        <v>35.4580634</v>
      </c>
    </row>
    <row r="77" spans="1:21" ht="15" outlineLevel="2">
      <c r="A77" s="6" t="s">
        <v>115</v>
      </c>
      <c r="B77" s="11" t="s">
        <v>92</v>
      </c>
      <c r="C77" s="11" t="s">
        <v>93</v>
      </c>
      <c r="D77" s="13" t="s">
        <v>116</v>
      </c>
      <c r="E77" s="42" t="s">
        <v>95</v>
      </c>
      <c r="F77" s="39" t="s">
        <v>53</v>
      </c>
      <c r="G77" s="24" t="s">
        <v>65</v>
      </c>
      <c r="H77" s="136">
        <v>1.719704</v>
      </c>
      <c r="I77" s="149">
        <v>4</v>
      </c>
      <c r="J77" s="136">
        <f>I77*$J$2</f>
        <v>0.24</v>
      </c>
      <c r="K77" s="136">
        <v>30</v>
      </c>
      <c r="L77" s="139"/>
      <c r="M77" s="139"/>
      <c r="N77" s="136"/>
      <c r="O77" s="11"/>
      <c r="P77" s="136"/>
      <c r="Q77" s="140"/>
      <c r="R77" s="136"/>
      <c r="S77" s="136"/>
      <c r="T77" s="136"/>
      <c r="U77" s="136">
        <f t="shared" si="18"/>
        <v>31.959704</v>
      </c>
    </row>
    <row r="78" spans="1:21" ht="15" outlineLevel="2">
      <c r="A78" s="6" t="s">
        <v>115</v>
      </c>
      <c r="B78" s="17" t="s">
        <v>92</v>
      </c>
      <c r="C78" s="17" t="s">
        <v>93</v>
      </c>
      <c r="D78" s="13">
        <v>403002</v>
      </c>
      <c r="E78" s="18" t="s">
        <v>95</v>
      </c>
      <c r="F78" s="39" t="s">
        <v>585</v>
      </c>
      <c r="G78" s="18" t="s">
        <v>592</v>
      </c>
      <c r="H78" s="136"/>
      <c r="I78" s="149"/>
      <c r="J78" s="136"/>
      <c r="K78" s="136"/>
      <c r="L78" s="139">
        <v>2</v>
      </c>
      <c r="M78" s="139">
        <v>0.15</v>
      </c>
      <c r="N78" s="136">
        <f>L78*M78*$N$2</f>
        <v>940.5</v>
      </c>
      <c r="O78" s="11"/>
      <c r="P78" s="136"/>
      <c r="Q78" s="140"/>
      <c r="R78" s="136"/>
      <c r="S78" s="136"/>
      <c r="T78" s="136"/>
      <c r="U78" s="136">
        <f t="shared" si="18"/>
        <v>940.5</v>
      </c>
    </row>
    <row r="79" spans="1:21" ht="15" outlineLevel="2">
      <c r="A79" s="28" t="s">
        <v>115</v>
      </c>
      <c r="B79" s="11" t="str">
        <f>B78</f>
        <v>DOH-CHS</v>
      </c>
      <c r="C79" s="11" t="str">
        <f>C78</f>
        <v>COMM. HEALTH SERVICES</v>
      </c>
      <c r="D79" s="13">
        <f>D78</f>
        <v>403002</v>
      </c>
      <c r="E79" s="38" t="str">
        <f>E78</f>
        <v>40-30</v>
      </c>
      <c r="F79" s="20" t="s">
        <v>615</v>
      </c>
      <c r="G79" s="11" t="s">
        <v>615</v>
      </c>
      <c r="H79" s="136"/>
      <c r="I79" s="140"/>
      <c r="J79" s="136"/>
      <c r="K79" s="136"/>
      <c r="L79" s="139"/>
      <c r="M79" s="139"/>
      <c r="N79" s="136"/>
      <c r="O79" s="29">
        <f>0.5+0.25</f>
        <v>0.75</v>
      </c>
      <c r="P79" s="136">
        <f>O79*$P$2</f>
        <v>54</v>
      </c>
      <c r="Q79" s="140"/>
      <c r="R79" s="136"/>
      <c r="S79" s="136"/>
      <c r="T79" s="136"/>
      <c r="U79" s="136">
        <f t="shared" si="18"/>
        <v>54</v>
      </c>
    </row>
    <row r="80" spans="1:21" s="5" customFormat="1" ht="15.75" outlineLevel="1">
      <c r="A80" s="1" t="s">
        <v>889</v>
      </c>
      <c r="B80" s="172"/>
      <c r="C80" s="2"/>
      <c r="D80" s="19"/>
      <c r="E80" s="44"/>
      <c r="F80" s="51"/>
      <c r="G80" s="2"/>
      <c r="H80" s="137">
        <f aca="true" t="shared" si="19" ref="H80:U80">SUBTOTAL(9,H74:H79)</f>
        <v>11.048049599999999</v>
      </c>
      <c r="I80" s="144">
        <f t="shared" si="19"/>
        <v>16</v>
      </c>
      <c r="J80" s="137">
        <f t="shared" si="19"/>
        <v>1.2000000000000002</v>
      </c>
      <c r="K80" s="137">
        <f t="shared" si="19"/>
        <v>120</v>
      </c>
      <c r="L80" s="141">
        <f t="shared" si="19"/>
        <v>2</v>
      </c>
      <c r="M80" s="141">
        <f t="shared" si="19"/>
        <v>0.15</v>
      </c>
      <c r="N80" s="137">
        <f t="shared" si="19"/>
        <v>940.5</v>
      </c>
      <c r="O80" s="45">
        <f t="shared" si="19"/>
        <v>0.75</v>
      </c>
      <c r="P80" s="137">
        <f t="shared" si="19"/>
        <v>54</v>
      </c>
      <c r="Q80" s="167">
        <f t="shared" si="19"/>
        <v>0</v>
      </c>
      <c r="R80" s="137">
        <f t="shared" si="19"/>
        <v>0</v>
      </c>
      <c r="S80" s="137">
        <f t="shared" si="19"/>
        <v>0</v>
      </c>
      <c r="T80" s="137">
        <f t="shared" si="19"/>
        <v>0</v>
      </c>
      <c r="U80" s="137">
        <f t="shared" si="19"/>
        <v>1126.7480496</v>
      </c>
    </row>
    <row r="81" spans="1:21" ht="15" outlineLevel="2">
      <c r="A81" s="6" t="s">
        <v>122</v>
      </c>
      <c r="B81" s="11" t="s">
        <v>92</v>
      </c>
      <c r="C81" s="11" t="s">
        <v>112</v>
      </c>
      <c r="D81" s="13" t="s">
        <v>123</v>
      </c>
      <c r="E81" s="42" t="s">
        <v>114</v>
      </c>
      <c r="F81" s="39" t="s">
        <v>53</v>
      </c>
      <c r="G81" s="11" t="s">
        <v>62</v>
      </c>
      <c r="H81" s="136">
        <v>1.4397278</v>
      </c>
      <c r="I81" s="140">
        <v>4</v>
      </c>
      <c r="J81" s="136">
        <f>I81*$J$1</f>
        <v>0.4</v>
      </c>
      <c r="K81" s="136">
        <v>15</v>
      </c>
      <c r="L81" s="139"/>
      <c r="M81" s="139"/>
      <c r="N81" s="136"/>
      <c r="O81" s="11"/>
      <c r="P81" s="136"/>
      <c r="Q81" s="140"/>
      <c r="R81" s="136"/>
      <c r="S81" s="136"/>
      <c r="T81" s="136"/>
      <c r="U81" s="136">
        <f>H81+J81+K81+N81+P81+R81+S81+T81</f>
        <v>16.8397278</v>
      </c>
    </row>
    <row r="82" spans="1:21" ht="15" outlineLevel="2">
      <c r="A82" s="6" t="s">
        <v>122</v>
      </c>
      <c r="B82" s="11" t="s">
        <v>92</v>
      </c>
      <c r="C82" s="11" t="s">
        <v>112</v>
      </c>
      <c r="D82" s="13" t="s">
        <v>123</v>
      </c>
      <c r="E82" s="42" t="s">
        <v>114</v>
      </c>
      <c r="F82" s="39" t="s">
        <v>53</v>
      </c>
      <c r="G82" s="24" t="s">
        <v>63</v>
      </c>
      <c r="H82" s="136">
        <v>6.522291999999999</v>
      </c>
      <c r="I82" s="149">
        <v>4</v>
      </c>
      <c r="J82" s="136">
        <f>I82*$J$2</f>
        <v>0.24</v>
      </c>
      <c r="K82" s="136">
        <v>30</v>
      </c>
      <c r="L82" s="139"/>
      <c r="M82" s="139"/>
      <c r="N82" s="136"/>
      <c r="O82" s="11"/>
      <c r="P82" s="136"/>
      <c r="Q82" s="140"/>
      <c r="R82" s="136"/>
      <c r="S82" s="136"/>
      <c r="T82" s="136"/>
      <c r="U82" s="136">
        <f>H82+J82+K82+N82+P82+R82+S82+T82</f>
        <v>36.762292</v>
      </c>
    </row>
    <row r="83" spans="1:21" ht="15" outlineLevel="2">
      <c r="A83" s="6" t="s">
        <v>122</v>
      </c>
      <c r="B83" s="11" t="s">
        <v>92</v>
      </c>
      <c r="C83" s="11" t="s">
        <v>112</v>
      </c>
      <c r="D83" s="13" t="s">
        <v>123</v>
      </c>
      <c r="E83" s="42" t="s">
        <v>114</v>
      </c>
      <c r="F83" s="39" t="s">
        <v>53</v>
      </c>
      <c r="G83" s="24" t="s">
        <v>64</v>
      </c>
      <c r="H83" s="136">
        <v>1.9283754</v>
      </c>
      <c r="I83" s="149">
        <v>2</v>
      </c>
      <c r="J83" s="136">
        <f>I83*$J$2</f>
        <v>0.12</v>
      </c>
      <c r="K83" s="136">
        <v>30</v>
      </c>
      <c r="L83" s="139"/>
      <c r="M83" s="139"/>
      <c r="N83" s="136"/>
      <c r="O83" s="11"/>
      <c r="P83" s="136"/>
      <c r="Q83" s="140"/>
      <c r="R83" s="136"/>
      <c r="S83" s="136"/>
      <c r="T83" s="136"/>
      <c r="U83" s="136">
        <f>H83+J83+K83+N83+P83+R83+S83+T83</f>
        <v>32.0483754</v>
      </c>
    </row>
    <row r="84" spans="1:21" ht="15" outlineLevel="2">
      <c r="A84" s="6" t="s">
        <v>122</v>
      </c>
      <c r="B84" s="17" t="s">
        <v>92</v>
      </c>
      <c r="C84" s="17" t="s">
        <v>112</v>
      </c>
      <c r="D84" s="13">
        <v>404002</v>
      </c>
      <c r="E84" s="43" t="s">
        <v>114</v>
      </c>
      <c r="F84" s="39" t="s">
        <v>585</v>
      </c>
      <c r="G84" s="24" t="s">
        <v>592</v>
      </c>
      <c r="H84" s="136"/>
      <c r="I84" s="149"/>
      <c r="J84" s="136"/>
      <c r="K84" s="136"/>
      <c r="L84" s="139">
        <v>2</v>
      </c>
      <c r="M84" s="139">
        <v>0.1</v>
      </c>
      <c r="N84" s="136">
        <f>L84*M84*$N$2</f>
        <v>627</v>
      </c>
      <c r="O84" s="11"/>
      <c r="P84" s="136"/>
      <c r="Q84" s="140"/>
      <c r="R84" s="136"/>
      <c r="S84" s="136"/>
      <c r="T84" s="136"/>
      <c r="U84" s="136">
        <f>H84+J84+K84+N84+P84+R84+S84+T84</f>
        <v>627</v>
      </c>
    </row>
    <row r="85" spans="1:21" s="5" customFormat="1" ht="15.75" outlineLevel="1">
      <c r="A85" s="1" t="s">
        <v>890</v>
      </c>
      <c r="B85" s="172"/>
      <c r="C85" s="2"/>
      <c r="D85" s="19"/>
      <c r="E85" s="44"/>
      <c r="F85" s="51"/>
      <c r="G85" s="2"/>
      <c r="H85" s="137">
        <f aca="true" t="shared" si="20" ref="H85:U85">SUBTOTAL(9,H81:H84)</f>
        <v>9.890395199999999</v>
      </c>
      <c r="I85" s="144">
        <f t="shared" si="20"/>
        <v>10</v>
      </c>
      <c r="J85" s="137">
        <f t="shared" si="20"/>
        <v>0.76</v>
      </c>
      <c r="K85" s="137">
        <f t="shared" si="20"/>
        <v>75</v>
      </c>
      <c r="L85" s="141">
        <f t="shared" si="20"/>
        <v>2</v>
      </c>
      <c r="M85" s="141">
        <f t="shared" si="20"/>
        <v>0.1</v>
      </c>
      <c r="N85" s="137">
        <f t="shared" si="20"/>
        <v>627</v>
      </c>
      <c r="O85" s="45">
        <f t="shared" si="20"/>
        <v>0</v>
      </c>
      <c r="P85" s="137">
        <f t="shared" si="20"/>
        <v>0</v>
      </c>
      <c r="Q85" s="167">
        <f t="shared" si="20"/>
        <v>0</v>
      </c>
      <c r="R85" s="137">
        <f t="shared" si="20"/>
        <v>0</v>
      </c>
      <c r="S85" s="137">
        <f t="shared" si="20"/>
        <v>0</v>
      </c>
      <c r="T85" s="137">
        <f t="shared" si="20"/>
        <v>0</v>
      </c>
      <c r="U85" s="137">
        <f t="shared" si="20"/>
        <v>712.6503952</v>
      </c>
    </row>
    <row r="86" spans="1:21" ht="15" outlineLevel="2">
      <c r="A86" s="6" t="s">
        <v>124</v>
      </c>
      <c r="B86" s="11" t="s">
        <v>68</v>
      </c>
      <c r="C86" s="11" t="s">
        <v>74</v>
      </c>
      <c r="D86" s="13">
        <v>407525</v>
      </c>
      <c r="E86" s="42" t="s">
        <v>125</v>
      </c>
      <c r="F86" s="39" t="s">
        <v>53</v>
      </c>
      <c r="G86" s="24" t="s">
        <v>65</v>
      </c>
      <c r="H86" s="136">
        <v>1.9283754</v>
      </c>
      <c r="I86" s="149">
        <v>2</v>
      </c>
      <c r="J86" s="136">
        <f>I86*$J$2</f>
        <v>0.12</v>
      </c>
      <c r="K86" s="136">
        <v>15</v>
      </c>
      <c r="L86" s="139"/>
      <c r="M86" s="139"/>
      <c r="N86" s="136"/>
      <c r="O86" s="11"/>
      <c r="P86" s="136"/>
      <c r="Q86" s="140"/>
      <c r="R86" s="136"/>
      <c r="S86" s="136"/>
      <c r="T86" s="136"/>
      <c r="U86" s="136">
        <f>H86+J86+K86+N86+P86+R86+S86+T86</f>
        <v>17.0483754</v>
      </c>
    </row>
    <row r="87" spans="1:21" s="5" customFormat="1" ht="15.75" outlineLevel="1">
      <c r="A87" s="1" t="s">
        <v>891</v>
      </c>
      <c r="B87" s="172"/>
      <c r="C87" s="2"/>
      <c r="D87" s="19"/>
      <c r="E87" s="44"/>
      <c r="F87" s="51"/>
      <c r="G87" s="2"/>
      <c r="H87" s="137">
        <f aca="true" t="shared" si="21" ref="H87:U87">SUBTOTAL(9,H86:H86)</f>
        <v>1.9283754</v>
      </c>
      <c r="I87" s="144">
        <f t="shared" si="21"/>
        <v>2</v>
      </c>
      <c r="J87" s="137">
        <f t="shared" si="21"/>
        <v>0.12</v>
      </c>
      <c r="K87" s="137">
        <f t="shared" si="21"/>
        <v>15</v>
      </c>
      <c r="L87" s="141">
        <f t="shared" si="21"/>
        <v>0</v>
      </c>
      <c r="M87" s="141">
        <f t="shared" si="21"/>
        <v>0</v>
      </c>
      <c r="N87" s="137">
        <f t="shared" si="21"/>
        <v>0</v>
      </c>
      <c r="O87" s="45">
        <f t="shared" si="21"/>
        <v>0</v>
      </c>
      <c r="P87" s="137">
        <f t="shared" si="21"/>
        <v>0</v>
      </c>
      <c r="Q87" s="167">
        <f t="shared" si="21"/>
        <v>0</v>
      </c>
      <c r="R87" s="137">
        <f t="shared" si="21"/>
        <v>0</v>
      </c>
      <c r="S87" s="137">
        <f t="shared" si="21"/>
        <v>0</v>
      </c>
      <c r="T87" s="137">
        <f t="shared" si="21"/>
        <v>0</v>
      </c>
      <c r="U87" s="137">
        <f t="shared" si="21"/>
        <v>17.0483754</v>
      </c>
    </row>
    <row r="88" spans="1:21" ht="15" outlineLevel="2">
      <c r="A88" s="6" t="s">
        <v>130</v>
      </c>
      <c r="B88" s="7" t="s">
        <v>92</v>
      </c>
      <c r="C88" s="7" t="s">
        <v>112</v>
      </c>
      <c r="D88" s="8" t="s">
        <v>131</v>
      </c>
      <c r="E88" s="42" t="s">
        <v>114</v>
      </c>
      <c r="F88" s="39" t="s">
        <v>53</v>
      </c>
      <c r="G88" s="24" t="s">
        <v>62</v>
      </c>
      <c r="H88" s="136">
        <v>12.563276600000002</v>
      </c>
      <c r="I88" s="149">
        <v>38</v>
      </c>
      <c r="J88" s="136">
        <f>I88*$J$1</f>
        <v>3.8000000000000003</v>
      </c>
      <c r="K88" s="136">
        <v>60</v>
      </c>
      <c r="L88" s="139"/>
      <c r="M88" s="139"/>
      <c r="N88" s="136"/>
      <c r="O88" s="11"/>
      <c r="P88" s="136"/>
      <c r="Q88" s="140"/>
      <c r="R88" s="136"/>
      <c r="S88" s="136"/>
      <c r="T88" s="136"/>
      <c r="U88" s="136">
        <f aca="true" t="shared" si="22" ref="U88:U95">H88+J88+K88+N88+P88+R88+S88+T88</f>
        <v>76.3632766</v>
      </c>
    </row>
    <row r="89" spans="1:21" ht="15" outlineLevel="2">
      <c r="A89" s="6" t="s">
        <v>130</v>
      </c>
      <c r="B89" s="7" t="s">
        <v>92</v>
      </c>
      <c r="C89" s="7" t="s">
        <v>112</v>
      </c>
      <c r="D89" s="8" t="s">
        <v>131</v>
      </c>
      <c r="E89" s="42" t="s">
        <v>114</v>
      </c>
      <c r="F89" s="39" t="s">
        <v>53</v>
      </c>
      <c r="G89" s="24" t="s">
        <v>63</v>
      </c>
      <c r="H89" s="136">
        <v>14.114156000000001</v>
      </c>
      <c r="I89" s="149">
        <v>8</v>
      </c>
      <c r="J89" s="136">
        <f>I89*$J$2</f>
        <v>0.48</v>
      </c>
      <c r="K89" s="136">
        <v>0</v>
      </c>
      <c r="L89" s="139"/>
      <c r="M89" s="139"/>
      <c r="N89" s="136"/>
      <c r="O89" s="11"/>
      <c r="P89" s="136"/>
      <c r="Q89" s="140"/>
      <c r="R89" s="136"/>
      <c r="S89" s="136"/>
      <c r="T89" s="136"/>
      <c r="U89" s="136">
        <f t="shared" si="22"/>
        <v>14.594156000000002</v>
      </c>
    </row>
    <row r="90" spans="1:21" ht="15" outlineLevel="2">
      <c r="A90" s="6" t="s">
        <v>130</v>
      </c>
      <c r="B90" s="7" t="s">
        <v>92</v>
      </c>
      <c r="C90" s="7" t="s">
        <v>112</v>
      </c>
      <c r="D90" s="8" t="s">
        <v>131</v>
      </c>
      <c r="E90" s="42" t="s">
        <v>114</v>
      </c>
      <c r="F90" s="39" t="s">
        <v>53</v>
      </c>
      <c r="G90" s="24" t="s">
        <v>64</v>
      </c>
      <c r="H90" s="136">
        <v>36.411586400000004</v>
      </c>
      <c r="I90" s="149">
        <v>39</v>
      </c>
      <c r="J90" s="136">
        <f>I90*$J$2</f>
        <v>2.34</v>
      </c>
      <c r="K90" s="136">
        <v>15</v>
      </c>
      <c r="L90" s="139"/>
      <c r="M90" s="139"/>
      <c r="N90" s="136"/>
      <c r="O90" s="11"/>
      <c r="P90" s="136"/>
      <c r="Q90" s="140"/>
      <c r="R90" s="136"/>
      <c r="S90" s="136"/>
      <c r="T90" s="136"/>
      <c r="U90" s="136">
        <f t="shared" si="22"/>
        <v>53.75158640000001</v>
      </c>
    </row>
    <row r="91" spans="1:21" ht="15" outlineLevel="2">
      <c r="A91" s="6" t="s">
        <v>130</v>
      </c>
      <c r="B91" s="7" t="s">
        <v>92</v>
      </c>
      <c r="C91" s="7" t="s">
        <v>112</v>
      </c>
      <c r="D91" s="8" t="s">
        <v>131</v>
      </c>
      <c r="E91" s="42" t="s">
        <v>114</v>
      </c>
      <c r="F91" s="39" t="s">
        <v>53</v>
      </c>
      <c r="G91" s="24" t="s">
        <v>65</v>
      </c>
      <c r="H91" s="136">
        <v>35.956494</v>
      </c>
      <c r="I91" s="149">
        <v>77</v>
      </c>
      <c r="J91" s="136">
        <f>I91*$J$2</f>
        <v>4.62</v>
      </c>
      <c r="K91" s="136">
        <v>75</v>
      </c>
      <c r="L91" s="139"/>
      <c r="M91" s="139"/>
      <c r="N91" s="136"/>
      <c r="O91" s="11"/>
      <c r="P91" s="136"/>
      <c r="Q91" s="140"/>
      <c r="R91" s="136"/>
      <c r="S91" s="136"/>
      <c r="T91" s="136"/>
      <c r="U91" s="136">
        <f t="shared" si="22"/>
        <v>115.576494</v>
      </c>
    </row>
    <row r="92" spans="1:21" ht="15" outlineLevel="2">
      <c r="A92" s="6" t="s">
        <v>130</v>
      </c>
      <c r="B92" s="7" t="s">
        <v>92</v>
      </c>
      <c r="C92" s="7" t="s">
        <v>112</v>
      </c>
      <c r="D92" s="8" t="s">
        <v>131</v>
      </c>
      <c r="E92" s="42" t="s">
        <v>114</v>
      </c>
      <c r="F92" s="39" t="s">
        <v>53</v>
      </c>
      <c r="G92" s="24" t="s">
        <v>66</v>
      </c>
      <c r="H92" s="136">
        <v>28.4978022</v>
      </c>
      <c r="I92" s="149">
        <v>58</v>
      </c>
      <c r="J92" s="136">
        <f>I92*$J$2</f>
        <v>3.48</v>
      </c>
      <c r="K92" s="136">
        <v>15</v>
      </c>
      <c r="L92" s="139"/>
      <c r="M92" s="139"/>
      <c r="N92" s="136"/>
      <c r="O92" s="11"/>
      <c r="P92" s="136"/>
      <c r="Q92" s="140"/>
      <c r="R92" s="136"/>
      <c r="S92" s="136"/>
      <c r="T92" s="136"/>
      <c r="U92" s="136">
        <f t="shared" si="22"/>
        <v>46.9778022</v>
      </c>
    </row>
    <row r="93" spans="1:21" ht="15" outlineLevel="2">
      <c r="A93" s="6" t="s">
        <v>130</v>
      </c>
      <c r="B93" s="7" t="s">
        <v>92</v>
      </c>
      <c r="C93" s="7" t="s">
        <v>112</v>
      </c>
      <c r="D93" s="8" t="s">
        <v>131</v>
      </c>
      <c r="E93" s="42" t="s">
        <v>114</v>
      </c>
      <c r="F93" s="39" t="s">
        <v>53</v>
      </c>
      <c r="G93" s="24" t="s">
        <v>90</v>
      </c>
      <c r="H93" s="136">
        <v>6.7949280000000005</v>
      </c>
      <c r="I93" s="149">
        <v>24</v>
      </c>
      <c r="J93" s="136">
        <f>I93*$J$2</f>
        <v>1.44</v>
      </c>
      <c r="K93" s="136">
        <v>0</v>
      </c>
      <c r="L93" s="139"/>
      <c r="M93" s="139"/>
      <c r="N93" s="136"/>
      <c r="O93" s="11"/>
      <c r="P93" s="136"/>
      <c r="Q93" s="140"/>
      <c r="R93" s="136"/>
      <c r="S93" s="136"/>
      <c r="T93" s="136"/>
      <c r="U93" s="136">
        <f t="shared" si="22"/>
        <v>8.234928</v>
      </c>
    </row>
    <row r="94" spans="1:21" ht="15" outlineLevel="2">
      <c r="A94" s="6" t="s">
        <v>130</v>
      </c>
      <c r="B94" s="7" t="s">
        <v>92</v>
      </c>
      <c r="C94" s="7" t="s">
        <v>112</v>
      </c>
      <c r="D94" s="8" t="s">
        <v>131</v>
      </c>
      <c r="E94" s="43" t="s">
        <v>114</v>
      </c>
      <c r="F94" s="39" t="s">
        <v>585</v>
      </c>
      <c r="G94" s="16" t="s">
        <v>592</v>
      </c>
      <c r="H94" s="136"/>
      <c r="I94" s="149"/>
      <c r="J94" s="136"/>
      <c r="K94" s="136"/>
      <c r="L94" s="139">
        <v>1</v>
      </c>
      <c r="M94" s="139">
        <v>0.17</v>
      </c>
      <c r="N94" s="136">
        <f>L94*M94*$N$2</f>
        <v>532.95</v>
      </c>
      <c r="O94" s="11"/>
      <c r="P94" s="136"/>
      <c r="Q94" s="140"/>
      <c r="R94" s="136"/>
      <c r="S94" s="136"/>
      <c r="T94" s="136"/>
      <c r="U94" s="136">
        <f t="shared" si="22"/>
        <v>532.95</v>
      </c>
    </row>
    <row r="95" spans="1:21" ht="15" outlineLevel="2">
      <c r="A95" s="28" t="s">
        <v>130</v>
      </c>
      <c r="B95" s="11" t="str">
        <f>B94</f>
        <v>DOH-CHS</v>
      </c>
      <c r="C95" s="11" t="str">
        <f>C94</f>
        <v>CHP3</v>
      </c>
      <c r="D95" s="13" t="str">
        <f>D94</f>
        <v>4FA44-02-1</v>
      </c>
      <c r="E95" s="38" t="str">
        <f>E94</f>
        <v>40-40</v>
      </c>
      <c r="F95" s="20" t="s">
        <v>615</v>
      </c>
      <c r="G95" s="11" t="s">
        <v>615</v>
      </c>
      <c r="H95" s="136"/>
      <c r="I95" s="140"/>
      <c r="J95" s="136"/>
      <c r="K95" s="136"/>
      <c r="L95" s="139"/>
      <c r="M95" s="139"/>
      <c r="N95" s="136"/>
      <c r="O95" s="29">
        <v>0.5</v>
      </c>
      <c r="P95" s="136">
        <f>O95*$P$2</f>
        <v>36</v>
      </c>
      <c r="Q95" s="140"/>
      <c r="R95" s="136"/>
      <c r="S95" s="136"/>
      <c r="T95" s="136"/>
      <c r="U95" s="136">
        <f t="shared" si="22"/>
        <v>36</v>
      </c>
    </row>
    <row r="96" spans="1:21" s="5" customFormat="1" ht="15.75" outlineLevel="1">
      <c r="A96" s="1" t="s">
        <v>892</v>
      </c>
      <c r="B96" s="172"/>
      <c r="C96" s="2"/>
      <c r="D96" s="19"/>
      <c r="E96" s="44"/>
      <c r="F96" s="51"/>
      <c r="G96" s="2"/>
      <c r="H96" s="137">
        <f aca="true" t="shared" si="23" ref="H96:U96">SUBTOTAL(9,H88:H95)</f>
        <v>134.3382432</v>
      </c>
      <c r="I96" s="144">
        <f t="shared" si="23"/>
        <v>244</v>
      </c>
      <c r="J96" s="137">
        <f t="shared" si="23"/>
        <v>16.16</v>
      </c>
      <c r="K96" s="137">
        <f t="shared" si="23"/>
        <v>165</v>
      </c>
      <c r="L96" s="141">
        <f t="shared" si="23"/>
        <v>1</v>
      </c>
      <c r="M96" s="141">
        <f t="shared" si="23"/>
        <v>0.17</v>
      </c>
      <c r="N96" s="137">
        <f t="shared" si="23"/>
        <v>532.95</v>
      </c>
      <c r="O96" s="45">
        <f t="shared" si="23"/>
        <v>0.5</v>
      </c>
      <c r="P96" s="137">
        <f t="shared" si="23"/>
        <v>36</v>
      </c>
      <c r="Q96" s="167">
        <f t="shared" si="23"/>
        <v>0</v>
      </c>
      <c r="R96" s="137">
        <f t="shared" si="23"/>
        <v>0</v>
      </c>
      <c r="S96" s="137">
        <f t="shared" si="23"/>
        <v>0</v>
      </c>
      <c r="T96" s="137">
        <f t="shared" si="23"/>
        <v>0</v>
      </c>
      <c r="U96" s="137">
        <f t="shared" si="23"/>
        <v>884.4482432000001</v>
      </c>
    </row>
    <row r="97" spans="1:21" ht="15" outlineLevel="2">
      <c r="A97" s="6" t="s">
        <v>132</v>
      </c>
      <c r="B97" s="7" t="s">
        <v>92</v>
      </c>
      <c r="C97" s="7" t="s">
        <v>112</v>
      </c>
      <c r="D97" s="8" t="s">
        <v>133</v>
      </c>
      <c r="E97" s="42" t="s">
        <v>134</v>
      </c>
      <c r="F97" s="39" t="s">
        <v>53</v>
      </c>
      <c r="G97" s="11" t="s">
        <v>62</v>
      </c>
      <c r="H97" s="136">
        <v>40.241073599999986</v>
      </c>
      <c r="I97" s="140">
        <v>123</v>
      </c>
      <c r="J97" s="136">
        <f>I97*$J$1</f>
        <v>12.3</v>
      </c>
      <c r="K97" s="136">
        <v>30</v>
      </c>
      <c r="L97" s="139"/>
      <c r="M97" s="139"/>
      <c r="N97" s="136"/>
      <c r="O97" s="11"/>
      <c r="P97" s="136"/>
      <c r="Q97" s="140"/>
      <c r="R97" s="136"/>
      <c r="S97" s="136"/>
      <c r="T97" s="136"/>
      <c r="U97" s="136">
        <f>H97+J97+K97+N97+P97+R97+S97+T97</f>
        <v>82.54107359999999</v>
      </c>
    </row>
    <row r="98" spans="1:21" ht="15" outlineLevel="2">
      <c r="A98" s="6" t="s">
        <v>132</v>
      </c>
      <c r="B98" s="7" t="s">
        <v>92</v>
      </c>
      <c r="C98" s="7" t="s">
        <v>112</v>
      </c>
      <c r="D98" s="8" t="s">
        <v>133</v>
      </c>
      <c r="E98" s="42" t="s">
        <v>134</v>
      </c>
      <c r="F98" s="39" t="s">
        <v>53</v>
      </c>
      <c r="G98" s="24" t="s">
        <v>63</v>
      </c>
      <c r="H98" s="136">
        <v>39.68951</v>
      </c>
      <c r="I98" s="149">
        <v>14</v>
      </c>
      <c r="J98" s="136">
        <f>I98*$J$2</f>
        <v>0.84</v>
      </c>
      <c r="K98" s="136">
        <v>60</v>
      </c>
      <c r="L98" s="139"/>
      <c r="M98" s="139"/>
      <c r="N98" s="136"/>
      <c r="O98" s="11"/>
      <c r="P98" s="136"/>
      <c r="Q98" s="140"/>
      <c r="R98" s="136"/>
      <c r="S98" s="136"/>
      <c r="T98" s="136"/>
      <c r="U98" s="136">
        <f>H98+J98+K98+N98+P98+R98+S98+T98</f>
        <v>100.52951</v>
      </c>
    </row>
    <row r="99" spans="1:21" ht="15" outlineLevel="2">
      <c r="A99" s="6" t="s">
        <v>132</v>
      </c>
      <c r="B99" s="7" t="s">
        <v>92</v>
      </c>
      <c r="C99" s="7" t="s">
        <v>112</v>
      </c>
      <c r="D99" s="8" t="s">
        <v>133</v>
      </c>
      <c r="E99" s="42" t="s">
        <v>134</v>
      </c>
      <c r="F99" s="39" t="s">
        <v>53</v>
      </c>
      <c r="G99" s="24" t="s">
        <v>65</v>
      </c>
      <c r="H99" s="136">
        <v>23.373293999999998</v>
      </c>
      <c r="I99" s="149">
        <v>49</v>
      </c>
      <c r="J99" s="136">
        <f>I99*$J$2</f>
        <v>2.94</v>
      </c>
      <c r="K99" s="136">
        <v>60</v>
      </c>
      <c r="L99" s="139"/>
      <c r="M99" s="139"/>
      <c r="N99" s="136"/>
      <c r="O99" s="11"/>
      <c r="P99" s="136"/>
      <c r="Q99" s="140"/>
      <c r="R99" s="136"/>
      <c r="S99" s="136"/>
      <c r="T99" s="136"/>
      <c r="U99" s="136">
        <f>H99+J99+K99+N99+P99+R99+S99+T99</f>
        <v>86.313294</v>
      </c>
    </row>
    <row r="100" spans="1:21" ht="15" outlineLevel="2">
      <c r="A100" s="6" t="s">
        <v>132</v>
      </c>
      <c r="B100" s="7" t="s">
        <v>92</v>
      </c>
      <c r="C100" s="7" t="s">
        <v>112</v>
      </c>
      <c r="D100" s="8" t="s">
        <v>133</v>
      </c>
      <c r="E100" s="42" t="s">
        <v>134</v>
      </c>
      <c r="F100" s="39" t="s">
        <v>53</v>
      </c>
      <c r="G100" s="24" t="s">
        <v>66</v>
      </c>
      <c r="H100" s="136">
        <v>0.7581378</v>
      </c>
      <c r="I100" s="149">
        <v>1</v>
      </c>
      <c r="J100" s="136">
        <f>I100*$J$2</f>
        <v>0.06</v>
      </c>
      <c r="K100" s="136">
        <v>15</v>
      </c>
      <c r="L100" s="139"/>
      <c r="M100" s="139"/>
      <c r="N100" s="136"/>
      <c r="O100" s="11"/>
      <c r="P100" s="136"/>
      <c r="Q100" s="140"/>
      <c r="R100" s="136"/>
      <c r="S100" s="136"/>
      <c r="T100" s="136"/>
      <c r="U100" s="136">
        <f>H100+J100+K100+N100+P100+R100+S100+T100</f>
        <v>15.8181378</v>
      </c>
    </row>
    <row r="101" spans="1:21" ht="15" outlineLevel="2">
      <c r="A101" s="6" t="str">
        <f>A100</f>
        <v>M051</v>
      </c>
      <c r="B101" s="11" t="str">
        <f>B100</f>
        <v>DOH-CHS</v>
      </c>
      <c r="C101" s="11" t="str">
        <f>C100</f>
        <v>CHP3</v>
      </c>
      <c r="D101" s="13" t="str">
        <f>D100</f>
        <v>401601</v>
      </c>
      <c r="E101" s="24" t="str">
        <f>E100</f>
        <v>40-16</v>
      </c>
      <c r="F101" s="39" t="s">
        <v>585</v>
      </c>
      <c r="G101" s="24" t="s">
        <v>585</v>
      </c>
      <c r="H101" s="136"/>
      <c r="I101" s="149"/>
      <c r="J101" s="136"/>
      <c r="K101" s="136"/>
      <c r="L101" s="139">
        <v>1</v>
      </c>
      <c r="M101" s="139">
        <v>0.44</v>
      </c>
      <c r="N101" s="136">
        <f>L101*M101*$N$2</f>
        <v>1379.4</v>
      </c>
      <c r="O101" s="11"/>
      <c r="P101" s="136"/>
      <c r="Q101" s="140"/>
      <c r="R101" s="136"/>
      <c r="S101" s="136"/>
      <c r="T101" s="136"/>
      <c r="U101" s="136">
        <f>H101+J101+K101+N101+P101+R101+S101+T101</f>
        <v>1379.4</v>
      </c>
    </row>
    <row r="102" spans="1:21" s="5" customFormat="1" ht="15.75" outlineLevel="1">
      <c r="A102" s="1" t="s">
        <v>893</v>
      </c>
      <c r="B102" s="172"/>
      <c r="C102" s="2"/>
      <c r="D102" s="19"/>
      <c r="E102" s="44"/>
      <c r="F102" s="51"/>
      <c r="G102" s="2"/>
      <c r="H102" s="137">
        <f aca="true" t="shared" si="24" ref="H102:U102">SUBTOTAL(9,H97:H101)</f>
        <v>104.06201539999998</v>
      </c>
      <c r="I102" s="144">
        <f t="shared" si="24"/>
        <v>187</v>
      </c>
      <c r="J102" s="137">
        <f t="shared" si="24"/>
        <v>16.14</v>
      </c>
      <c r="K102" s="137">
        <f t="shared" si="24"/>
        <v>165</v>
      </c>
      <c r="L102" s="141">
        <f t="shared" si="24"/>
        <v>1</v>
      </c>
      <c r="M102" s="141">
        <f t="shared" si="24"/>
        <v>0.44</v>
      </c>
      <c r="N102" s="137">
        <f t="shared" si="24"/>
        <v>1379.4</v>
      </c>
      <c r="O102" s="45">
        <f t="shared" si="24"/>
        <v>0</v>
      </c>
      <c r="P102" s="137">
        <f t="shared" si="24"/>
        <v>0</v>
      </c>
      <c r="Q102" s="167">
        <f t="shared" si="24"/>
        <v>0</v>
      </c>
      <c r="R102" s="137">
        <f t="shared" si="24"/>
        <v>0</v>
      </c>
      <c r="S102" s="137">
        <f t="shared" si="24"/>
        <v>0</v>
      </c>
      <c r="T102" s="137">
        <f t="shared" si="24"/>
        <v>0</v>
      </c>
      <c r="U102" s="137">
        <f t="shared" si="24"/>
        <v>1664.6020154</v>
      </c>
    </row>
    <row r="103" spans="1:21" ht="15" outlineLevel="2">
      <c r="A103" s="6" t="s">
        <v>135</v>
      </c>
      <c r="B103" s="7" t="s">
        <v>92</v>
      </c>
      <c r="C103" s="7" t="s">
        <v>112</v>
      </c>
      <c r="D103" s="8" t="s">
        <v>136</v>
      </c>
      <c r="E103" s="42" t="s">
        <v>114</v>
      </c>
      <c r="F103" s="39" t="s">
        <v>53</v>
      </c>
      <c r="G103" s="24" t="s">
        <v>62</v>
      </c>
      <c r="H103" s="136">
        <v>2.9455173999999995</v>
      </c>
      <c r="I103" s="149">
        <v>7</v>
      </c>
      <c r="J103" s="136">
        <f>I103*$J$1</f>
        <v>0.7000000000000001</v>
      </c>
      <c r="K103" s="136">
        <v>0</v>
      </c>
      <c r="L103" s="139"/>
      <c r="M103" s="139"/>
      <c r="N103" s="136"/>
      <c r="O103" s="11"/>
      <c r="P103" s="136"/>
      <c r="Q103" s="140"/>
      <c r="R103" s="136"/>
      <c r="S103" s="136"/>
      <c r="T103" s="136"/>
      <c r="U103" s="136">
        <f>H103+J103+K103+N103+P103+R103+S103+T103</f>
        <v>3.6455173999999997</v>
      </c>
    </row>
    <row r="104" spans="1:21" ht="15" outlineLevel="2">
      <c r="A104" s="6" t="s">
        <v>135</v>
      </c>
      <c r="B104" s="7" t="s">
        <v>92</v>
      </c>
      <c r="C104" s="7" t="s">
        <v>112</v>
      </c>
      <c r="D104" s="8" t="s">
        <v>136</v>
      </c>
      <c r="E104" s="42" t="s">
        <v>114</v>
      </c>
      <c r="F104" s="39" t="s">
        <v>53</v>
      </c>
      <c r="G104" s="24" t="s">
        <v>63</v>
      </c>
      <c r="H104" s="136">
        <v>47.260402</v>
      </c>
      <c r="I104" s="149">
        <v>20</v>
      </c>
      <c r="J104" s="136">
        <f>I104*$J$2</f>
        <v>1.2</v>
      </c>
      <c r="K104" s="136">
        <v>30</v>
      </c>
      <c r="L104" s="139"/>
      <c r="M104" s="139"/>
      <c r="N104" s="136"/>
      <c r="O104" s="11"/>
      <c r="P104" s="136"/>
      <c r="Q104" s="140"/>
      <c r="R104" s="136"/>
      <c r="S104" s="136"/>
      <c r="T104" s="136"/>
      <c r="U104" s="136">
        <f>H104+J104+K104+N104+P104+R104+S104+T104</f>
        <v>78.460402</v>
      </c>
    </row>
    <row r="105" spans="1:21" ht="15" outlineLevel="2">
      <c r="A105" s="6" t="s">
        <v>135</v>
      </c>
      <c r="B105" s="7" t="s">
        <v>92</v>
      </c>
      <c r="C105" s="7" t="s">
        <v>112</v>
      </c>
      <c r="D105" s="8" t="s">
        <v>136</v>
      </c>
      <c r="E105" s="42" t="s">
        <v>114</v>
      </c>
      <c r="F105" s="39" t="s">
        <v>53</v>
      </c>
      <c r="G105" s="24" t="s">
        <v>64</v>
      </c>
      <c r="H105" s="136">
        <v>54.591164600000006</v>
      </c>
      <c r="I105" s="149">
        <v>40</v>
      </c>
      <c r="J105" s="136">
        <f>I105*$J$2</f>
        <v>2.4</v>
      </c>
      <c r="K105" s="136">
        <v>60</v>
      </c>
      <c r="L105" s="139"/>
      <c r="M105" s="139"/>
      <c r="N105" s="136"/>
      <c r="O105" s="11"/>
      <c r="P105" s="136"/>
      <c r="Q105" s="140"/>
      <c r="R105" s="136"/>
      <c r="S105" s="136"/>
      <c r="T105" s="136"/>
      <c r="U105" s="136">
        <f>H105+J105+K105+N105+P105+R105+S105+T105</f>
        <v>116.9911646</v>
      </c>
    </row>
    <row r="106" spans="1:21" ht="15" outlineLevel="2">
      <c r="A106" s="6" t="s">
        <v>135</v>
      </c>
      <c r="B106" s="7" t="s">
        <v>92</v>
      </c>
      <c r="C106" s="7" t="s">
        <v>112</v>
      </c>
      <c r="D106" s="8" t="s">
        <v>136</v>
      </c>
      <c r="E106" s="42" t="s">
        <v>114</v>
      </c>
      <c r="F106" s="39" t="s">
        <v>53</v>
      </c>
      <c r="G106" s="24" t="s">
        <v>65</v>
      </c>
      <c r="H106" s="136">
        <v>22.502956</v>
      </c>
      <c r="I106" s="149">
        <v>44</v>
      </c>
      <c r="J106" s="136">
        <f>I106*$J$2</f>
        <v>2.6399999999999997</v>
      </c>
      <c r="K106" s="136">
        <v>60</v>
      </c>
      <c r="L106" s="139"/>
      <c r="M106" s="139"/>
      <c r="N106" s="136"/>
      <c r="O106" s="11"/>
      <c r="P106" s="136"/>
      <c r="Q106" s="140"/>
      <c r="R106" s="136"/>
      <c r="S106" s="136"/>
      <c r="T106" s="136"/>
      <c r="U106" s="136">
        <f>H106+J106+K106+N106+P106+R106+S106+T106</f>
        <v>85.142956</v>
      </c>
    </row>
    <row r="107" spans="1:21" ht="15" outlineLevel="2">
      <c r="A107" s="6" t="s">
        <v>135</v>
      </c>
      <c r="B107" s="7" t="s">
        <v>92</v>
      </c>
      <c r="C107" s="7" t="s">
        <v>112</v>
      </c>
      <c r="D107" s="8" t="s">
        <v>136</v>
      </c>
      <c r="E107" s="42" t="s">
        <v>114</v>
      </c>
      <c r="F107" s="39" t="s">
        <v>53</v>
      </c>
      <c r="G107" s="24" t="s">
        <v>66</v>
      </c>
      <c r="H107" s="136">
        <v>21.476376600000002</v>
      </c>
      <c r="I107" s="149">
        <v>25</v>
      </c>
      <c r="J107" s="136">
        <f>I107*$J$2</f>
        <v>1.5</v>
      </c>
      <c r="K107" s="136">
        <v>15</v>
      </c>
      <c r="L107" s="139"/>
      <c r="M107" s="139"/>
      <c r="N107" s="136"/>
      <c r="O107" s="11"/>
      <c r="P107" s="136"/>
      <c r="Q107" s="140"/>
      <c r="R107" s="136"/>
      <c r="S107" s="136"/>
      <c r="T107" s="136"/>
      <c r="U107" s="136">
        <f>H107+J107+K107+N107+P107+R107+S107+T107</f>
        <v>37.9763766</v>
      </c>
    </row>
    <row r="108" spans="1:21" s="5" customFormat="1" ht="15.75" outlineLevel="1">
      <c r="A108" s="1" t="s">
        <v>894</v>
      </c>
      <c r="B108" s="172"/>
      <c r="C108" s="2"/>
      <c r="D108" s="19"/>
      <c r="E108" s="44"/>
      <c r="F108" s="51"/>
      <c r="G108" s="2"/>
      <c r="H108" s="137">
        <f aca="true" t="shared" si="25" ref="H108:U108">SUBTOTAL(9,H103:H107)</f>
        <v>148.7764166</v>
      </c>
      <c r="I108" s="144">
        <f t="shared" si="25"/>
        <v>136</v>
      </c>
      <c r="J108" s="137">
        <f t="shared" si="25"/>
        <v>8.44</v>
      </c>
      <c r="K108" s="137">
        <f t="shared" si="25"/>
        <v>165</v>
      </c>
      <c r="L108" s="141">
        <f t="shared" si="25"/>
        <v>0</v>
      </c>
      <c r="M108" s="141">
        <f t="shared" si="25"/>
        <v>0</v>
      </c>
      <c r="N108" s="137">
        <f t="shared" si="25"/>
        <v>0</v>
      </c>
      <c r="O108" s="45">
        <f t="shared" si="25"/>
        <v>0</v>
      </c>
      <c r="P108" s="137">
        <f t="shared" si="25"/>
        <v>0</v>
      </c>
      <c r="Q108" s="167">
        <f t="shared" si="25"/>
        <v>0</v>
      </c>
      <c r="R108" s="137">
        <f t="shared" si="25"/>
        <v>0</v>
      </c>
      <c r="S108" s="137">
        <f t="shared" si="25"/>
        <v>0</v>
      </c>
      <c r="T108" s="137">
        <f t="shared" si="25"/>
        <v>0</v>
      </c>
      <c r="U108" s="137">
        <f t="shared" si="25"/>
        <v>322.2164166</v>
      </c>
    </row>
    <row r="109" spans="1:21" ht="15" outlineLevel="2">
      <c r="A109" s="6" t="s">
        <v>137</v>
      </c>
      <c r="B109" s="7" t="s">
        <v>73</v>
      </c>
      <c r="C109" s="7" t="s">
        <v>74</v>
      </c>
      <c r="D109" s="8" t="s">
        <v>138</v>
      </c>
      <c r="E109" s="42" t="s">
        <v>139</v>
      </c>
      <c r="F109" s="39" t="s">
        <v>53</v>
      </c>
      <c r="G109" s="24" t="s">
        <v>62</v>
      </c>
      <c r="H109" s="136">
        <v>20.503275799999997</v>
      </c>
      <c r="I109" s="149">
        <v>62</v>
      </c>
      <c r="J109" s="136">
        <f>I109*$J$1</f>
        <v>6.2</v>
      </c>
      <c r="K109" s="136">
        <v>150</v>
      </c>
      <c r="L109" s="139"/>
      <c r="M109" s="139"/>
      <c r="N109" s="136"/>
      <c r="O109" s="11"/>
      <c r="P109" s="136"/>
      <c r="Q109" s="140"/>
      <c r="R109" s="136"/>
      <c r="S109" s="136"/>
      <c r="T109" s="136"/>
      <c r="U109" s="136">
        <f aca="true" t="shared" si="26" ref="U109:U115">H109+J109+K109+N109+P109+R109+S109+T109</f>
        <v>176.7032758</v>
      </c>
    </row>
    <row r="110" spans="1:21" ht="15" outlineLevel="2">
      <c r="A110" s="6" t="s">
        <v>137</v>
      </c>
      <c r="B110" s="7" t="s">
        <v>73</v>
      </c>
      <c r="C110" s="7" t="s">
        <v>74</v>
      </c>
      <c r="D110" s="8" t="s">
        <v>138</v>
      </c>
      <c r="E110" s="42" t="s">
        <v>139</v>
      </c>
      <c r="F110" s="39" t="s">
        <v>53</v>
      </c>
      <c r="G110" s="24" t="s">
        <v>63</v>
      </c>
      <c r="H110" s="136">
        <v>41.62942</v>
      </c>
      <c r="I110" s="149">
        <v>14</v>
      </c>
      <c r="J110" s="136">
        <f>I110*$J$2</f>
        <v>0.84</v>
      </c>
      <c r="K110" s="136">
        <v>15</v>
      </c>
      <c r="L110" s="139"/>
      <c r="M110" s="139"/>
      <c r="N110" s="136"/>
      <c r="O110" s="11"/>
      <c r="P110" s="136"/>
      <c r="Q110" s="140"/>
      <c r="R110" s="136"/>
      <c r="S110" s="136"/>
      <c r="T110" s="136"/>
      <c r="U110" s="136">
        <f t="shared" si="26"/>
        <v>57.46942000000001</v>
      </c>
    </row>
    <row r="111" spans="1:21" ht="15" outlineLevel="2">
      <c r="A111" s="6" t="s">
        <v>137</v>
      </c>
      <c r="B111" s="7" t="s">
        <v>73</v>
      </c>
      <c r="C111" s="7" t="s">
        <v>74</v>
      </c>
      <c r="D111" s="8" t="s">
        <v>138</v>
      </c>
      <c r="E111" s="42" t="s">
        <v>139</v>
      </c>
      <c r="F111" s="39" t="s">
        <v>53</v>
      </c>
      <c r="G111" s="24" t="s">
        <v>64</v>
      </c>
      <c r="H111" s="136">
        <v>9.521288</v>
      </c>
      <c r="I111" s="149">
        <v>6</v>
      </c>
      <c r="J111" s="136">
        <f>I111*$J$2</f>
        <v>0.36</v>
      </c>
      <c r="K111" s="136">
        <v>15</v>
      </c>
      <c r="L111" s="139"/>
      <c r="M111" s="139"/>
      <c r="N111" s="136"/>
      <c r="O111" s="11"/>
      <c r="P111" s="136"/>
      <c r="Q111" s="140"/>
      <c r="R111" s="136"/>
      <c r="S111" s="136"/>
      <c r="T111" s="136"/>
      <c r="U111" s="136">
        <f t="shared" si="26"/>
        <v>24.881287999999998</v>
      </c>
    </row>
    <row r="112" spans="1:21" ht="15" outlineLevel="2">
      <c r="A112" s="6" t="s">
        <v>137</v>
      </c>
      <c r="B112" s="7" t="s">
        <v>73</v>
      </c>
      <c r="C112" s="7" t="s">
        <v>74</v>
      </c>
      <c r="D112" s="8" t="s">
        <v>138</v>
      </c>
      <c r="E112" s="42" t="s">
        <v>139</v>
      </c>
      <c r="F112" s="39" t="s">
        <v>53</v>
      </c>
      <c r="G112" s="24" t="s">
        <v>65</v>
      </c>
      <c r="H112" s="136">
        <v>13.453538</v>
      </c>
      <c r="I112" s="149">
        <v>19</v>
      </c>
      <c r="J112" s="136">
        <f>I112*$J$2</f>
        <v>1.14</v>
      </c>
      <c r="K112" s="136">
        <v>0</v>
      </c>
      <c r="L112" s="139"/>
      <c r="M112" s="139"/>
      <c r="N112" s="136"/>
      <c r="O112" s="11"/>
      <c r="P112" s="136"/>
      <c r="Q112" s="140"/>
      <c r="R112" s="136"/>
      <c r="S112" s="136"/>
      <c r="T112" s="136"/>
      <c r="U112" s="136">
        <f t="shared" si="26"/>
        <v>14.593538</v>
      </c>
    </row>
    <row r="113" spans="1:21" ht="15" outlineLevel="2">
      <c r="A113" s="6" t="s">
        <v>137</v>
      </c>
      <c r="B113" s="7" t="s">
        <v>73</v>
      </c>
      <c r="C113" s="7" t="s">
        <v>74</v>
      </c>
      <c r="D113" s="8" t="s">
        <v>138</v>
      </c>
      <c r="E113" s="42" t="s">
        <v>139</v>
      </c>
      <c r="F113" s="39" t="s">
        <v>53</v>
      </c>
      <c r="G113" s="24" t="s">
        <v>66</v>
      </c>
      <c r="H113" s="136">
        <v>10.1147956</v>
      </c>
      <c r="I113" s="149">
        <v>9</v>
      </c>
      <c r="J113" s="136">
        <f>I113*$J$2</f>
        <v>0.54</v>
      </c>
      <c r="K113" s="136">
        <v>0</v>
      </c>
      <c r="L113" s="139"/>
      <c r="M113" s="139"/>
      <c r="N113" s="136"/>
      <c r="O113" s="11"/>
      <c r="P113" s="136"/>
      <c r="Q113" s="140"/>
      <c r="R113" s="136"/>
      <c r="S113" s="136"/>
      <c r="T113" s="136"/>
      <c r="U113" s="136">
        <f t="shared" si="26"/>
        <v>10.6547956</v>
      </c>
    </row>
    <row r="114" spans="1:21" ht="15" outlineLevel="2">
      <c r="A114" s="6" t="s">
        <v>137</v>
      </c>
      <c r="B114" s="7" t="s">
        <v>73</v>
      </c>
      <c r="C114" s="7" t="s">
        <v>74</v>
      </c>
      <c r="D114" s="8" t="s">
        <v>138</v>
      </c>
      <c r="E114" s="42" t="s">
        <v>139</v>
      </c>
      <c r="F114" s="39" t="s">
        <v>53</v>
      </c>
      <c r="G114" s="11" t="s">
        <v>90</v>
      </c>
      <c r="H114" s="136">
        <v>1706.7013599999998</v>
      </c>
      <c r="I114" s="140">
        <v>6260</v>
      </c>
      <c r="J114" s="136">
        <f>I114*$J$2</f>
        <v>375.59999999999997</v>
      </c>
      <c r="K114" s="136">
        <v>0</v>
      </c>
      <c r="L114" s="139"/>
      <c r="M114" s="139"/>
      <c r="N114" s="136"/>
      <c r="O114" s="11"/>
      <c r="P114" s="136"/>
      <c r="Q114" s="140"/>
      <c r="R114" s="136"/>
      <c r="S114" s="136"/>
      <c r="T114" s="136"/>
      <c r="U114" s="136">
        <f t="shared" si="26"/>
        <v>2082.30136</v>
      </c>
    </row>
    <row r="115" spans="1:21" ht="15" outlineLevel="2">
      <c r="A115" s="6" t="s">
        <v>137</v>
      </c>
      <c r="B115" s="7" t="s">
        <v>73</v>
      </c>
      <c r="C115" s="7" t="s">
        <v>74</v>
      </c>
      <c r="D115" s="8">
        <v>407050</v>
      </c>
      <c r="E115" s="43" t="s">
        <v>139</v>
      </c>
      <c r="F115" s="39" t="s">
        <v>585</v>
      </c>
      <c r="G115" s="7" t="s">
        <v>585</v>
      </c>
      <c r="H115" s="136"/>
      <c r="I115" s="140"/>
      <c r="J115" s="136"/>
      <c r="K115" s="136"/>
      <c r="L115" s="139">
        <v>2</v>
      </c>
      <c r="M115" s="139">
        <v>0.2</v>
      </c>
      <c r="N115" s="136">
        <f>L115*M115*$N$2</f>
        <v>1254</v>
      </c>
      <c r="O115" s="11"/>
      <c r="P115" s="136"/>
      <c r="Q115" s="140"/>
      <c r="R115" s="136"/>
      <c r="S115" s="136"/>
      <c r="T115" s="136"/>
      <c r="U115" s="136">
        <f t="shared" si="26"/>
        <v>1254</v>
      </c>
    </row>
    <row r="116" spans="1:21" s="5" customFormat="1" ht="15.75" outlineLevel="1">
      <c r="A116" s="1" t="s">
        <v>895</v>
      </c>
      <c r="B116" s="172"/>
      <c r="C116" s="2"/>
      <c r="D116" s="19"/>
      <c r="E116" s="44"/>
      <c r="F116" s="51"/>
      <c r="G116" s="2"/>
      <c r="H116" s="137">
        <f aca="true" t="shared" si="27" ref="H116:U116">SUBTOTAL(9,H109:H115)</f>
        <v>1801.9236773999999</v>
      </c>
      <c r="I116" s="144">
        <f t="shared" si="27"/>
        <v>6370</v>
      </c>
      <c r="J116" s="137">
        <f t="shared" si="27"/>
        <v>384.67999999999995</v>
      </c>
      <c r="K116" s="137">
        <f t="shared" si="27"/>
        <v>180</v>
      </c>
      <c r="L116" s="141">
        <f t="shared" si="27"/>
        <v>2</v>
      </c>
      <c r="M116" s="141">
        <f t="shared" si="27"/>
        <v>0.2</v>
      </c>
      <c r="N116" s="137">
        <f t="shared" si="27"/>
        <v>1254</v>
      </c>
      <c r="O116" s="45">
        <f t="shared" si="27"/>
        <v>0</v>
      </c>
      <c r="P116" s="137">
        <f t="shared" si="27"/>
        <v>0</v>
      </c>
      <c r="Q116" s="167">
        <f t="shared" si="27"/>
        <v>0</v>
      </c>
      <c r="R116" s="137">
        <f t="shared" si="27"/>
        <v>0</v>
      </c>
      <c r="S116" s="137">
        <f t="shared" si="27"/>
        <v>0</v>
      </c>
      <c r="T116" s="137">
        <f t="shared" si="27"/>
        <v>0</v>
      </c>
      <c r="U116" s="137">
        <f t="shared" si="27"/>
        <v>3620.6036774</v>
      </c>
    </row>
    <row r="117" spans="1:21" ht="15" outlineLevel="2">
      <c r="A117" s="6" t="s">
        <v>140</v>
      </c>
      <c r="B117" s="7" t="s">
        <v>73</v>
      </c>
      <c r="C117" s="7" t="s">
        <v>74</v>
      </c>
      <c r="D117" s="8" t="s">
        <v>141</v>
      </c>
      <c r="E117" s="42" t="s">
        <v>139</v>
      </c>
      <c r="F117" s="39" t="s">
        <v>53</v>
      </c>
      <c r="G117" s="24" t="s">
        <v>62</v>
      </c>
      <c r="H117" s="136">
        <v>6.8830104</v>
      </c>
      <c r="I117" s="149">
        <v>21</v>
      </c>
      <c r="J117" s="136">
        <f>I117*$J$1</f>
        <v>2.1</v>
      </c>
      <c r="K117" s="136">
        <v>75</v>
      </c>
      <c r="L117" s="139"/>
      <c r="M117" s="139"/>
      <c r="N117" s="136"/>
      <c r="O117" s="11"/>
      <c r="P117" s="136"/>
      <c r="Q117" s="140"/>
      <c r="R117" s="136"/>
      <c r="S117" s="136"/>
      <c r="T117" s="136"/>
      <c r="U117" s="136">
        <f>H117+J117+K117+N117+P117+R117+S117+T117</f>
        <v>83.9830104</v>
      </c>
    </row>
    <row r="118" spans="1:21" ht="15" outlineLevel="2">
      <c r="A118" s="6" t="s">
        <v>140</v>
      </c>
      <c r="B118" s="7" t="s">
        <v>73</v>
      </c>
      <c r="C118" s="7" t="s">
        <v>74</v>
      </c>
      <c r="D118" s="8" t="s">
        <v>141</v>
      </c>
      <c r="E118" s="42" t="s">
        <v>139</v>
      </c>
      <c r="F118" s="39" t="s">
        <v>53</v>
      </c>
      <c r="G118" s="24" t="s">
        <v>63</v>
      </c>
      <c r="H118" s="136">
        <v>38.389246</v>
      </c>
      <c r="I118" s="149">
        <v>8</v>
      </c>
      <c r="J118" s="136">
        <f>I118*$J$2</f>
        <v>0.48</v>
      </c>
      <c r="K118" s="136">
        <v>30</v>
      </c>
      <c r="L118" s="139"/>
      <c r="M118" s="139"/>
      <c r="N118" s="136"/>
      <c r="O118" s="11"/>
      <c r="P118" s="136"/>
      <c r="Q118" s="140"/>
      <c r="R118" s="136"/>
      <c r="S118" s="136"/>
      <c r="T118" s="136"/>
      <c r="U118" s="136">
        <f>H118+J118+K118+N118+P118+R118+S118+T118</f>
        <v>68.869246</v>
      </c>
    </row>
    <row r="119" spans="1:21" ht="15" outlineLevel="2">
      <c r="A119" s="6" t="s">
        <v>140</v>
      </c>
      <c r="B119" s="7" t="s">
        <v>73</v>
      </c>
      <c r="C119" s="7" t="s">
        <v>74</v>
      </c>
      <c r="D119" s="8" t="s">
        <v>141</v>
      </c>
      <c r="E119" s="42" t="s">
        <v>139</v>
      </c>
      <c r="F119" s="39" t="s">
        <v>53</v>
      </c>
      <c r="G119" s="24" t="s">
        <v>64</v>
      </c>
      <c r="H119" s="136">
        <v>1.017142</v>
      </c>
      <c r="I119" s="149">
        <v>1</v>
      </c>
      <c r="J119" s="136">
        <f>I119*$J$2</f>
        <v>0.06</v>
      </c>
      <c r="K119" s="136">
        <v>0</v>
      </c>
      <c r="L119" s="139"/>
      <c r="M119" s="139"/>
      <c r="N119" s="136"/>
      <c r="O119" s="11"/>
      <c r="P119" s="136"/>
      <c r="Q119" s="140"/>
      <c r="R119" s="136"/>
      <c r="S119" s="136"/>
      <c r="T119" s="136"/>
      <c r="U119" s="136">
        <f>H119+J119+K119+N119+P119+R119+S119+T119</f>
        <v>1.077142</v>
      </c>
    </row>
    <row r="120" spans="1:21" ht="15" outlineLevel="2">
      <c r="A120" s="6" t="s">
        <v>140</v>
      </c>
      <c r="B120" s="7" t="s">
        <v>73</v>
      </c>
      <c r="C120" s="7" t="s">
        <v>74</v>
      </c>
      <c r="D120" s="8" t="s">
        <v>141</v>
      </c>
      <c r="E120" s="42" t="s">
        <v>139</v>
      </c>
      <c r="F120" s="39" t="s">
        <v>53</v>
      </c>
      <c r="G120" s="24" t="s">
        <v>65</v>
      </c>
      <c r="H120" s="136">
        <v>4.299259999999999</v>
      </c>
      <c r="I120" s="149">
        <v>10</v>
      </c>
      <c r="J120" s="136">
        <f>I120*$J$2</f>
        <v>0.6</v>
      </c>
      <c r="K120" s="136">
        <v>60</v>
      </c>
      <c r="L120" s="139"/>
      <c r="M120" s="139"/>
      <c r="N120" s="136"/>
      <c r="O120" s="11"/>
      <c r="P120" s="136"/>
      <c r="Q120" s="140"/>
      <c r="R120" s="136"/>
      <c r="S120" s="136"/>
      <c r="T120" s="136"/>
      <c r="U120" s="136">
        <f>H120+J120+K120+N120+P120+R120+S120+T120</f>
        <v>64.89926</v>
      </c>
    </row>
    <row r="121" spans="1:21" ht="15" outlineLevel="2">
      <c r="A121" s="6" t="s">
        <v>140</v>
      </c>
      <c r="B121" s="7" t="s">
        <v>73</v>
      </c>
      <c r="C121" s="7" t="s">
        <v>74</v>
      </c>
      <c r="D121" s="8">
        <v>407002</v>
      </c>
      <c r="E121" s="43" t="s">
        <v>139</v>
      </c>
      <c r="F121" s="39" t="s">
        <v>585</v>
      </c>
      <c r="G121" s="16" t="s">
        <v>585</v>
      </c>
      <c r="H121" s="136"/>
      <c r="I121" s="149"/>
      <c r="J121" s="136"/>
      <c r="K121" s="136"/>
      <c r="L121" s="139">
        <v>2</v>
      </c>
      <c r="M121" s="139">
        <v>0.2</v>
      </c>
      <c r="N121" s="136">
        <f>L121*M121*$N$2</f>
        <v>1254</v>
      </c>
      <c r="O121" s="11"/>
      <c r="P121" s="136"/>
      <c r="Q121" s="140"/>
      <c r="R121" s="136"/>
      <c r="S121" s="136"/>
      <c r="T121" s="136"/>
      <c r="U121" s="136">
        <f>H121+J121+K121+N121+P121+R121+S121+T121</f>
        <v>1254</v>
      </c>
    </row>
    <row r="122" spans="1:21" s="5" customFormat="1" ht="15.75" outlineLevel="1">
      <c r="A122" s="1" t="s">
        <v>896</v>
      </c>
      <c r="B122" s="172"/>
      <c r="C122" s="2"/>
      <c r="D122" s="19"/>
      <c r="E122" s="44"/>
      <c r="F122" s="51"/>
      <c r="G122" s="2"/>
      <c r="H122" s="137">
        <f aca="true" t="shared" si="28" ref="H122:U122">SUBTOTAL(9,H117:H121)</f>
        <v>50.5886584</v>
      </c>
      <c r="I122" s="144">
        <f t="shared" si="28"/>
        <v>40</v>
      </c>
      <c r="J122" s="137">
        <f t="shared" si="28"/>
        <v>3.24</v>
      </c>
      <c r="K122" s="137">
        <f t="shared" si="28"/>
        <v>165</v>
      </c>
      <c r="L122" s="141">
        <f t="shared" si="28"/>
        <v>2</v>
      </c>
      <c r="M122" s="141">
        <f t="shared" si="28"/>
        <v>0.2</v>
      </c>
      <c r="N122" s="137">
        <f t="shared" si="28"/>
        <v>1254</v>
      </c>
      <c r="O122" s="45">
        <f t="shared" si="28"/>
        <v>0</v>
      </c>
      <c r="P122" s="137">
        <f t="shared" si="28"/>
        <v>0</v>
      </c>
      <c r="Q122" s="167">
        <f t="shared" si="28"/>
        <v>0</v>
      </c>
      <c r="R122" s="137">
        <f t="shared" si="28"/>
        <v>0</v>
      </c>
      <c r="S122" s="137">
        <f t="shared" si="28"/>
        <v>0</v>
      </c>
      <c r="T122" s="137">
        <f t="shared" si="28"/>
        <v>0</v>
      </c>
      <c r="U122" s="137">
        <f t="shared" si="28"/>
        <v>1472.8286584</v>
      </c>
    </row>
    <row r="123" spans="1:21" ht="15" outlineLevel="2">
      <c r="A123" s="9" t="s">
        <v>5</v>
      </c>
      <c r="B123" s="25" t="s">
        <v>73</v>
      </c>
      <c r="C123" s="16" t="s">
        <v>74</v>
      </c>
      <c r="D123" s="26">
        <v>407002</v>
      </c>
      <c r="E123" s="27" t="s">
        <v>139</v>
      </c>
      <c r="F123" s="20" t="s">
        <v>585</v>
      </c>
      <c r="G123" s="27" t="s">
        <v>585</v>
      </c>
      <c r="H123" s="136"/>
      <c r="I123" s="149"/>
      <c r="J123" s="136"/>
      <c r="K123" s="136"/>
      <c r="L123" s="139">
        <v>1</v>
      </c>
      <c r="M123" s="139">
        <v>0.06</v>
      </c>
      <c r="N123" s="136">
        <f>L123*M123*$N$2</f>
        <v>188.1</v>
      </c>
      <c r="O123" s="11"/>
      <c r="P123" s="136"/>
      <c r="Q123" s="140"/>
      <c r="R123" s="136"/>
      <c r="S123" s="136"/>
      <c r="T123" s="136"/>
      <c r="U123" s="136">
        <f>H123+J123+K123+N123+P123+R123+S123+T123</f>
        <v>188.1</v>
      </c>
    </row>
    <row r="124" spans="1:21" s="5" customFormat="1" ht="15.75" outlineLevel="1">
      <c r="A124" s="1" t="s">
        <v>897</v>
      </c>
      <c r="B124" s="172"/>
      <c r="C124" s="2"/>
      <c r="D124" s="19"/>
      <c r="E124" s="44"/>
      <c r="F124" s="51"/>
      <c r="G124" s="2"/>
      <c r="H124" s="137">
        <f aca="true" t="shared" si="29" ref="H124:U124">SUBTOTAL(9,H123:H123)</f>
        <v>0</v>
      </c>
      <c r="I124" s="144">
        <f t="shared" si="29"/>
        <v>0</v>
      </c>
      <c r="J124" s="137">
        <f t="shared" si="29"/>
        <v>0</v>
      </c>
      <c r="K124" s="137">
        <f t="shared" si="29"/>
        <v>0</v>
      </c>
      <c r="L124" s="141">
        <f t="shared" si="29"/>
        <v>1</v>
      </c>
      <c r="M124" s="141">
        <f t="shared" si="29"/>
        <v>0.06</v>
      </c>
      <c r="N124" s="137">
        <f t="shared" si="29"/>
        <v>188.1</v>
      </c>
      <c r="O124" s="45">
        <f t="shared" si="29"/>
        <v>0</v>
      </c>
      <c r="P124" s="137">
        <f t="shared" si="29"/>
        <v>0</v>
      </c>
      <c r="Q124" s="167">
        <f t="shared" si="29"/>
        <v>0</v>
      </c>
      <c r="R124" s="137">
        <f t="shared" si="29"/>
        <v>0</v>
      </c>
      <c r="S124" s="137">
        <f t="shared" si="29"/>
        <v>0</v>
      </c>
      <c r="T124" s="137">
        <f t="shared" si="29"/>
        <v>0</v>
      </c>
      <c r="U124" s="137">
        <f t="shared" si="29"/>
        <v>188.1</v>
      </c>
    </row>
    <row r="125" spans="1:21" ht="15" outlineLevel="2">
      <c r="A125" s="6" t="s">
        <v>142</v>
      </c>
      <c r="B125" s="7" t="s">
        <v>92</v>
      </c>
      <c r="C125" s="7" t="s">
        <v>93</v>
      </c>
      <c r="D125" s="8" t="s">
        <v>143</v>
      </c>
      <c r="E125" s="42" t="s">
        <v>95</v>
      </c>
      <c r="F125" s="39" t="s">
        <v>53</v>
      </c>
      <c r="G125" s="24" t="s">
        <v>62</v>
      </c>
      <c r="H125" s="136">
        <v>564.1782579999999</v>
      </c>
      <c r="I125" s="149">
        <v>1704</v>
      </c>
      <c r="J125" s="136">
        <f>I125*$J$1</f>
        <v>170.4</v>
      </c>
      <c r="K125" s="136">
        <v>15</v>
      </c>
      <c r="L125" s="139"/>
      <c r="M125" s="139"/>
      <c r="N125" s="136"/>
      <c r="O125" s="11"/>
      <c r="P125" s="136"/>
      <c r="Q125" s="140"/>
      <c r="R125" s="136"/>
      <c r="S125" s="136"/>
      <c r="T125" s="136"/>
      <c r="U125" s="136">
        <f aca="true" t="shared" si="30" ref="U125:U133">H125+J125+K125+N125+P125+R125+S125+T125</f>
        <v>749.5782579999999</v>
      </c>
    </row>
    <row r="126" spans="1:21" ht="15" outlineLevel="2">
      <c r="A126" s="6" t="s">
        <v>142</v>
      </c>
      <c r="B126" s="7" t="s">
        <v>92</v>
      </c>
      <c r="C126" s="7" t="s">
        <v>93</v>
      </c>
      <c r="D126" s="8" t="s">
        <v>143</v>
      </c>
      <c r="E126" s="42" t="s">
        <v>95</v>
      </c>
      <c r="F126" s="39" t="s">
        <v>53</v>
      </c>
      <c r="G126" s="24" t="s">
        <v>63</v>
      </c>
      <c r="H126" s="136">
        <v>1316.234178</v>
      </c>
      <c r="I126" s="149">
        <v>349</v>
      </c>
      <c r="J126" s="136">
        <f>I126*$J$2</f>
        <v>20.939999999999998</v>
      </c>
      <c r="K126" s="136">
        <v>60</v>
      </c>
      <c r="L126" s="139"/>
      <c r="M126" s="139"/>
      <c r="N126" s="136"/>
      <c r="O126" s="11"/>
      <c r="P126" s="136"/>
      <c r="Q126" s="140"/>
      <c r="R126" s="136"/>
      <c r="S126" s="136"/>
      <c r="T126" s="136"/>
      <c r="U126" s="136">
        <f t="shared" si="30"/>
        <v>1397.174178</v>
      </c>
    </row>
    <row r="127" spans="1:21" ht="15" outlineLevel="2">
      <c r="A127" s="6" t="s">
        <v>142</v>
      </c>
      <c r="B127" s="7" t="s">
        <v>92</v>
      </c>
      <c r="C127" s="7" t="s">
        <v>93</v>
      </c>
      <c r="D127" s="8" t="s">
        <v>143</v>
      </c>
      <c r="E127" s="42" t="s">
        <v>95</v>
      </c>
      <c r="F127" s="39" t="s">
        <v>53</v>
      </c>
      <c r="G127" s="24" t="s">
        <v>64</v>
      </c>
      <c r="H127" s="136">
        <v>145.1482606</v>
      </c>
      <c r="I127" s="149">
        <v>56</v>
      </c>
      <c r="J127" s="136">
        <f>I127*$J$2</f>
        <v>3.36</v>
      </c>
      <c r="K127" s="136">
        <v>30</v>
      </c>
      <c r="L127" s="139"/>
      <c r="M127" s="139"/>
      <c r="N127" s="136"/>
      <c r="O127" s="11"/>
      <c r="P127" s="136"/>
      <c r="Q127" s="140"/>
      <c r="R127" s="136"/>
      <c r="S127" s="136"/>
      <c r="T127" s="136"/>
      <c r="U127" s="136">
        <f t="shared" si="30"/>
        <v>178.5082606</v>
      </c>
    </row>
    <row r="128" spans="1:21" ht="15" outlineLevel="2">
      <c r="A128" s="6" t="s">
        <v>142</v>
      </c>
      <c r="B128" s="7" t="s">
        <v>92</v>
      </c>
      <c r="C128" s="7" t="s">
        <v>93</v>
      </c>
      <c r="D128" s="8" t="s">
        <v>143</v>
      </c>
      <c r="E128" s="42" t="s">
        <v>95</v>
      </c>
      <c r="F128" s="39" t="s">
        <v>53</v>
      </c>
      <c r="G128" s="24" t="s">
        <v>65</v>
      </c>
      <c r="H128" s="136">
        <v>115.775926</v>
      </c>
      <c r="I128" s="149">
        <v>242</v>
      </c>
      <c r="J128" s="136">
        <f>I128*$J$2</f>
        <v>14.52</v>
      </c>
      <c r="K128" s="136">
        <v>60</v>
      </c>
      <c r="L128" s="139"/>
      <c r="M128" s="139"/>
      <c r="N128" s="136"/>
      <c r="O128" s="11"/>
      <c r="P128" s="136"/>
      <c r="Q128" s="140"/>
      <c r="R128" s="136"/>
      <c r="S128" s="136"/>
      <c r="T128" s="136"/>
      <c r="U128" s="136">
        <f t="shared" si="30"/>
        <v>190.295926</v>
      </c>
    </row>
    <row r="129" spans="1:21" ht="15" outlineLevel="2">
      <c r="A129" s="6" t="s">
        <v>142</v>
      </c>
      <c r="B129" s="7" t="s">
        <v>92</v>
      </c>
      <c r="C129" s="7" t="s">
        <v>93</v>
      </c>
      <c r="D129" s="8" t="s">
        <v>143</v>
      </c>
      <c r="E129" s="42" t="s">
        <v>95</v>
      </c>
      <c r="F129" s="39" t="s">
        <v>53</v>
      </c>
      <c r="G129" s="24" t="s">
        <v>66</v>
      </c>
      <c r="H129" s="136">
        <v>649.717803</v>
      </c>
      <c r="I129" s="149">
        <v>373</v>
      </c>
      <c r="J129" s="136">
        <f>I129*$J$2</f>
        <v>22.38</v>
      </c>
      <c r="K129" s="136">
        <v>15</v>
      </c>
      <c r="L129" s="139"/>
      <c r="M129" s="139"/>
      <c r="N129" s="136"/>
      <c r="O129" s="11"/>
      <c r="P129" s="136"/>
      <c r="Q129" s="140"/>
      <c r="R129" s="136"/>
      <c r="S129" s="136"/>
      <c r="T129" s="136"/>
      <c r="U129" s="136">
        <f t="shared" si="30"/>
        <v>687.097803</v>
      </c>
    </row>
    <row r="130" spans="1:21" ht="15" outlineLevel="2">
      <c r="A130" s="6" t="s">
        <v>142</v>
      </c>
      <c r="B130" s="7" t="s">
        <v>92</v>
      </c>
      <c r="C130" s="7" t="s">
        <v>93</v>
      </c>
      <c r="D130" s="8" t="s">
        <v>143</v>
      </c>
      <c r="E130" s="42" t="s">
        <v>95</v>
      </c>
      <c r="F130" s="39" t="s">
        <v>53</v>
      </c>
      <c r="G130" s="24" t="s">
        <v>90</v>
      </c>
      <c r="H130" s="136">
        <v>2.998996</v>
      </c>
      <c r="I130" s="149">
        <v>11</v>
      </c>
      <c r="J130" s="136">
        <f>I130*$J$2</f>
        <v>0.6599999999999999</v>
      </c>
      <c r="K130" s="136">
        <v>0</v>
      </c>
      <c r="L130" s="139"/>
      <c r="M130" s="139"/>
      <c r="N130" s="136"/>
      <c r="O130" s="11"/>
      <c r="P130" s="136"/>
      <c r="Q130" s="140"/>
      <c r="R130" s="136"/>
      <c r="S130" s="136"/>
      <c r="T130" s="136"/>
      <c r="U130" s="136">
        <f t="shared" si="30"/>
        <v>3.658996</v>
      </c>
    </row>
    <row r="131" spans="1:21" ht="15" outlineLevel="2">
      <c r="A131" s="6" t="s">
        <v>142</v>
      </c>
      <c r="B131" s="7" t="s">
        <v>92</v>
      </c>
      <c r="C131" s="7" t="s">
        <v>93</v>
      </c>
      <c r="D131" s="8">
        <v>403900</v>
      </c>
      <c r="E131" s="43" t="s">
        <v>95</v>
      </c>
      <c r="F131" s="39" t="s">
        <v>585</v>
      </c>
      <c r="G131" s="16" t="s">
        <v>585</v>
      </c>
      <c r="H131" s="136"/>
      <c r="I131" s="149"/>
      <c r="J131" s="136"/>
      <c r="K131" s="136"/>
      <c r="L131" s="139">
        <v>1</v>
      </c>
      <c r="M131" s="139">
        <v>0.25</v>
      </c>
      <c r="N131" s="136">
        <f>L131*M131*$N$2</f>
        <v>783.75</v>
      </c>
      <c r="O131" s="11"/>
      <c r="P131" s="136"/>
      <c r="Q131" s="140"/>
      <c r="R131" s="136"/>
      <c r="S131" s="136"/>
      <c r="T131" s="136"/>
      <c r="U131" s="136">
        <f t="shared" si="30"/>
        <v>783.75</v>
      </c>
    </row>
    <row r="132" spans="1:21" ht="15" outlineLevel="2">
      <c r="A132" s="28" t="s">
        <v>142</v>
      </c>
      <c r="B132" s="11" t="str">
        <f aca="true" t="shared" si="31" ref="B132:E133">B131</f>
        <v>DOH-CHS</v>
      </c>
      <c r="C132" s="11" t="str">
        <f t="shared" si="31"/>
        <v>COMM. HEALTH SERVICES</v>
      </c>
      <c r="D132" s="13">
        <f t="shared" si="31"/>
        <v>403900</v>
      </c>
      <c r="E132" s="38" t="str">
        <f t="shared" si="31"/>
        <v>40-30</v>
      </c>
      <c r="F132" s="20" t="s">
        <v>615</v>
      </c>
      <c r="G132" s="11" t="s">
        <v>615</v>
      </c>
      <c r="H132" s="136"/>
      <c r="I132" s="140"/>
      <c r="J132" s="136"/>
      <c r="K132" s="136"/>
      <c r="L132" s="139"/>
      <c r="M132" s="139"/>
      <c r="N132" s="136"/>
      <c r="O132" s="29">
        <f>0.75+0.5</f>
        <v>1.25</v>
      </c>
      <c r="P132" s="136">
        <f>O132*$P$2</f>
        <v>90</v>
      </c>
      <c r="Q132" s="140"/>
      <c r="R132" s="136"/>
      <c r="S132" s="136"/>
      <c r="T132" s="136"/>
      <c r="U132" s="136">
        <f t="shared" si="30"/>
        <v>90</v>
      </c>
    </row>
    <row r="133" spans="1:21" ht="15" outlineLevel="2">
      <c r="A133" s="36" t="s">
        <v>640</v>
      </c>
      <c r="B133" s="11" t="str">
        <f t="shared" si="31"/>
        <v>DOH-CHS</v>
      </c>
      <c r="C133" s="11" t="str">
        <f t="shared" si="31"/>
        <v>COMM. HEALTH SERVICES</v>
      </c>
      <c r="D133" s="13">
        <f t="shared" si="31"/>
        <v>403900</v>
      </c>
      <c r="E133" s="27" t="str">
        <f t="shared" si="31"/>
        <v>40-30</v>
      </c>
      <c r="F133" s="20" t="s">
        <v>683</v>
      </c>
      <c r="G133" s="11" t="s">
        <v>683</v>
      </c>
      <c r="H133" s="136"/>
      <c r="I133" s="140"/>
      <c r="J133" s="136"/>
      <c r="K133" s="136"/>
      <c r="L133" s="139"/>
      <c r="M133" s="139"/>
      <c r="N133" s="136"/>
      <c r="O133" s="34"/>
      <c r="P133" s="136"/>
      <c r="Q133" s="140"/>
      <c r="R133" s="136"/>
      <c r="S133" s="136"/>
      <c r="T133" s="150">
        <v>4.72</v>
      </c>
      <c r="U133" s="136">
        <f t="shared" si="30"/>
        <v>4.72</v>
      </c>
    </row>
    <row r="134" spans="1:21" s="5" customFormat="1" ht="15.75" outlineLevel="1">
      <c r="A134" s="1" t="s">
        <v>898</v>
      </c>
      <c r="B134" s="172"/>
      <c r="C134" s="2"/>
      <c r="D134" s="19"/>
      <c r="E134" s="44"/>
      <c r="F134" s="51"/>
      <c r="G134" s="2"/>
      <c r="H134" s="137">
        <f aca="true" t="shared" si="32" ref="H134:U134">SUBTOTAL(9,H125:H133)</f>
        <v>2794.0534215999996</v>
      </c>
      <c r="I134" s="144">
        <f t="shared" si="32"/>
        <v>2735</v>
      </c>
      <c r="J134" s="137">
        <f t="shared" si="32"/>
        <v>232.26000000000002</v>
      </c>
      <c r="K134" s="137">
        <f t="shared" si="32"/>
        <v>180</v>
      </c>
      <c r="L134" s="141">
        <f t="shared" si="32"/>
        <v>1</v>
      </c>
      <c r="M134" s="141">
        <f t="shared" si="32"/>
        <v>0.25</v>
      </c>
      <c r="N134" s="137">
        <f t="shared" si="32"/>
        <v>783.75</v>
      </c>
      <c r="O134" s="45">
        <f t="shared" si="32"/>
        <v>1.25</v>
      </c>
      <c r="P134" s="137">
        <f t="shared" si="32"/>
        <v>90</v>
      </c>
      <c r="Q134" s="167">
        <f t="shared" si="32"/>
        <v>0</v>
      </c>
      <c r="R134" s="137">
        <f t="shared" si="32"/>
        <v>0</v>
      </c>
      <c r="S134" s="137">
        <f t="shared" si="32"/>
        <v>0</v>
      </c>
      <c r="T134" s="137">
        <f t="shared" si="32"/>
        <v>4.72</v>
      </c>
      <c r="U134" s="137">
        <f t="shared" si="32"/>
        <v>4084.7834216</v>
      </c>
    </row>
    <row r="135" spans="1:21" ht="15" outlineLevel="2">
      <c r="A135" s="9" t="s">
        <v>6</v>
      </c>
      <c r="B135" s="25" t="s">
        <v>73</v>
      </c>
      <c r="C135" s="16" t="s">
        <v>74</v>
      </c>
      <c r="D135" s="26">
        <v>408200</v>
      </c>
      <c r="E135" s="27" t="s">
        <v>139</v>
      </c>
      <c r="F135" s="20" t="s">
        <v>585</v>
      </c>
      <c r="G135" s="27" t="s">
        <v>585</v>
      </c>
      <c r="H135" s="136"/>
      <c r="I135" s="149"/>
      <c r="J135" s="136"/>
      <c r="K135" s="136"/>
      <c r="L135" s="139">
        <v>1</v>
      </c>
      <c r="M135" s="139">
        <v>0.15</v>
      </c>
      <c r="N135" s="136">
        <f>L135*M135*$N$2</f>
        <v>470.25</v>
      </c>
      <c r="O135" s="11"/>
      <c r="P135" s="136"/>
      <c r="Q135" s="140"/>
      <c r="R135" s="136"/>
      <c r="S135" s="136"/>
      <c r="T135" s="136"/>
      <c r="U135" s="136">
        <f>H135+J135+K135+N135+P135+R135+S135+T135</f>
        <v>470.25</v>
      </c>
    </row>
    <row r="136" spans="1:21" s="5" customFormat="1" ht="15.75" outlineLevel="1">
      <c r="A136" s="1" t="s">
        <v>899</v>
      </c>
      <c r="B136" s="172"/>
      <c r="C136" s="2"/>
      <c r="D136" s="19"/>
      <c r="E136" s="44"/>
      <c r="F136" s="51"/>
      <c r="G136" s="2"/>
      <c r="H136" s="137">
        <f aca="true" t="shared" si="33" ref="H136:U136">SUBTOTAL(9,H135:H135)</f>
        <v>0</v>
      </c>
      <c r="I136" s="144">
        <f t="shared" si="33"/>
        <v>0</v>
      </c>
      <c r="J136" s="137">
        <f t="shared" si="33"/>
        <v>0</v>
      </c>
      <c r="K136" s="137">
        <f t="shared" si="33"/>
        <v>0</v>
      </c>
      <c r="L136" s="141">
        <f t="shared" si="33"/>
        <v>1</v>
      </c>
      <c r="M136" s="141">
        <f t="shared" si="33"/>
        <v>0.15</v>
      </c>
      <c r="N136" s="137">
        <f t="shared" si="33"/>
        <v>470.25</v>
      </c>
      <c r="O136" s="45">
        <f t="shared" si="33"/>
        <v>0</v>
      </c>
      <c r="P136" s="137">
        <f t="shared" si="33"/>
        <v>0</v>
      </c>
      <c r="Q136" s="167">
        <f t="shared" si="33"/>
        <v>0</v>
      </c>
      <c r="R136" s="137">
        <f t="shared" si="33"/>
        <v>0</v>
      </c>
      <c r="S136" s="137">
        <f t="shared" si="33"/>
        <v>0</v>
      </c>
      <c r="T136" s="137">
        <f t="shared" si="33"/>
        <v>0</v>
      </c>
      <c r="U136" s="137">
        <f t="shared" si="33"/>
        <v>470.25</v>
      </c>
    </row>
    <row r="137" spans="1:21" ht="15" outlineLevel="2">
      <c r="A137" s="6" t="s">
        <v>144</v>
      </c>
      <c r="B137" s="7" t="s">
        <v>68</v>
      </c>
      <c r="C137" s="7" t="s">
        <v>108</v>
      </c>
      <c r="D137" s="8" t="s">
        <v>145</v>
      </c>
      <c r="E137" s="42" t="s">
        <v>110</v>
      </c>
      <c r="F137" s="39" t="s">
        <v>53</v>
      </c>
      <c r="G137" s="24" t="s">
        <v>62</v>
      </c>
      <c r="H137" s="136">
        <v>670.0742748000001</v>
      </c>
      <c r="I137" s="149">
        <v>2023</v>
      </c>
      <c r="J137" s="136">
        <f>I137*$J$1</f>
        <v>202.3</v>
      </c>
      <c r="K137" s="136">
        <v>45</v>
      </c>
      <c r="L137" s="139"/>
      <c r="M137" s="139"/>
      <c r="N137" s="136"/>
      <c r="O137" s="11"/>
      <c r="P137" s="136"/>
      <c r="Q137" s="140"/>
      <c r="R137" s="136"/>
      <c r="S137" s="136"/>
      <c r="T137" s="136"/>
      <c r="U137" s="136">
        <f aca="true" t="shared" si="34" ref="U137:U143">H137+J137+K137+N137+P137+R137+S137+T137</f>
        <v>917.3742748000002</v>
      </c>
    </row>
    <row r="138" spans="1:21" ht="15" outlineLevel="2">
      <c r="A138" s="6" t="s">
        <v>144</v>
      </c>
      <c r="B138" s="7" t="s">
        <v>68</v>
      </c>
      <c r="C138" s="7" t="s">
        <v>108</v>
      </c>
      <c r="D138" s="8" t="s">
        <v>145</v>
      </c>
      <c r="E138" s="42" t="s">
        <v>110</v>
      </c>
      <c r="F138" s="39" t="s">
        <v>53</v>
      </c>
      <c r="G138" s="24" t="s">
        <v>63</v>
      </c>
      <c r="H138" s="136">
        <v>53.300337999999996</v>
      </c>
      <c r="I138" s="149">
        <v>23</v>
      </c>
      <c r="J138" s="136">
        <f>I138*$J$2</f>
        <v>1.38</v>
      </c>
      <c r="K138" s="136">
        <v>15</v>
      </c>
      <c r="L138" s="139"/>
      <c r="M138" s="139"/>
      <c r="N138" s="136"/>
      <c r="O138" s="11"/>
      <c r="P138" s="136"/>
      <c r="Q138" s="140"/>
      <c r="R138" s="136"/>
      <c r="S138" s="136"/>
      <c r="T138" s="136"/>
      <c r="U138" s="136">
        <f t="shared" si="34"/>
        <v>69.680338</v>
      </c>
    </row>
    <row r="139" spans="1:21" ht="15" outlineLevel="2">
      <c r="A139" s="6" t="s">
        <v>144</v>
      </c>
      <c r="B139" s="7" t="s">
        <v>68</v>
      </c>
      <c r="C139" s="7" t="s">
        <v>108</v>
      </c>
      <c r="D139" s="8" t="s">
        <v>145</v>
      </c>
      <c r="E139" s="42" t="s">
        <v>110</v>
      </c>
      <c r="F139" s="39" t="s">
        <v>53</v>
      </c>
      <c r="G139" s="24" t="s">
        <v>64</v>
      </c>
      <c r="H139" s="136">
        <v>101.22450379999998</v>
      </c>
      <c r="I139" s="149">
        <v>90</v>
      </c>
      <c r="J139" s="136">
        <f>I139*$J$2</f>
        <v>5.3999999999999995</v>
      </c>
      <c r="K139" s="136">
        <v>45</v>
      </c>
      <c r="L139" s="139"/>
      <c r="M139" s="139"/>
      <c r="N139" s="136"/>
      <c r="O139" s="11"/>
      <c r="P139" s="136"/>
      <c r="Q139" s="140"/>
      <c r="R139" s="136"/>
      <c r="S139" s="136"/>
      <c r="T139" s="136"/>
      <c r="U139" s="136">
        <f t="shared" si="34"/>
        <v>151.62450379999999</v>
      </c>
    </row>
    <row r="140" spans="1:21" ht="15" outlineLevel="2">
      <c r="A140" s="6" t="s">
        <v>144</v>
      </c>
      <c r="B140" s="7" t="s">
        <v>68</v>
      </c>
      <c r="C140" s="7" t="s">
        <v>108</v>
      </c>
      <c r="D140" s="8" t="s">
        <v>145</v>
      </c>
      <c r="E140" s="42" t="s">
        <v>110</v>
      </c>
      <c r="F140" s="39" t="s">
        <v>53</v>
      </c>
      <c r="G140" s="24" t="s">
        <v>65</v>
      </c>
      <c r="H140" s="136">
        <v>244.2797588</v>
      </c>
      <c r="I140" s="149">
        <v>559</v>
      </c>
      <c r="J140" s="136">
        <f>I140*$J$2</f>
        <v>33.54</v>
      </c>
      <c r="K140" s="136">
        <v>30</v>
      </c>
      <c r="L140" s="139"/>
      <c r="M140" s="139"/>
      <c r="N140" s="136"/>
      <c r="O140" s="11"/>
      <c r="P140" s="136"/>
      <c r="Q140" s="140"/>
      <c r="R140" s="136"/>
      <c r="S140" s="136"/>
      <c r="T140" s="136"/>
      <c r="U140" s="136">
        <f t="shared" si="34"/>
        <v>307.8197588</v>
      </c>
    </row>
    <row r="141" spans="1:21" ht="15" outlineLevel="2">
      <c r="A141" s="6" t="s">
        <v>144</v>
      </c>
      <c r="B141" s="7" t="s">
        <v>68</v>
      </c>
      <c r="C141" s="7" t="s">
        <v>108</v>
      </c>
      <c r="D141" s="8" t="s">
        <v>145</v>
      </c>
      <c r="E141" s="42" t="s">
        <v>110</v>
      </c>
      <c r="F141" s="39" t="s">
        <v>53</v>
      </c>
      <c r="G141" s="24" t="s">
        <v>66</v>
      </c>
      <c r="H141" s="136">
        <v>93.0286462</v>
      </c>
      <c r="I141" s="149">
        <v>106</v>
      </c>
      <c r="J141" s="136">
        <f>I141*$J$2</f>
        <v>6.359999999999999</v>
      </c>
      <c r="K141" s="136">
        <v>45</v>
      </c>
      <c r="L141" s="139"/>
      <c r="M141" s="139"/>
      <c r="N141" s="136"/>
      <c r="O141" s="11"/>
      <c r="P141" s="136"/>
      <c r="Q141" s="140"/>
      <c r="R141" s="136"/>
      <c r="S141" s="136"/>
      <c r="T141" s="136"/>
      <c r="U141" s="136">
        <f t="shared" si="34"/>
        <v>144.38864619999998</v>
      </c>
    </row>
    <row r="142" spans="1:21" ht="15" outlineLevel="2">
      <c r="A142" s="6" t="s">
        <v>144</v>
      </c>
      <c r="B142" s="7" t="s">
        <v>68</v>
      </c>
      <c r="C142" s="7" t="s">
        <v>108</v>
      </c>
      <c r="D142" s="8" t="s">
        <v>145</v>
      </c>
      <c r="E142" s="42" t="s">
        <v>110</v>
      </c>
      <c r="F142" s="39" t="s">
        <v>53</v>
      </c>
      <c r="G142" s="24" t="s">
        <v>104</v>
      </c>
      <c r="H142" s="136">
        <v>2.453724</v>
      </c>
      <c r="I142" s="149">
        <v>1</v>
      </c>
      <c r="J142" s="136">
        <f>I142*$J$2</f>
        <v>0.06</v>
      </c>
      <c r="K142" s="136">
        <v>0</v>
      </c>
      <c r="L142" s="139"/>
      <c r="M142" s="139"/>
      <c r="N142" s="136"/>
      <c r="O142" s="11"/>
      <c r="P142" s="136"/>
      <c r="Q142" s="140"/>
      <c r="R142" s="136"/>
      <c r="S142" s="136"/>
      <c r="T142" s="136"/>
      <c r="U142" s="136">
        <f t="shared" si="34"/>
        <v>2.513724</v>
      </c>
    </row>
    <row r="143" spans="1:21" ht="15" outlineLevel="2">
      <c r="A143" s="6" t="s">
        <v>144</v>
      </c>
      <c r="B143" s="7" t="s">
        <v>68</v>
      </c>
      <c r="C143" s="7" t="s">
        <v>108</v>
      </c>
      <c r="D143" s="8">
        <v>409300</v>
      </c>
      <c r="E143" s="43" t="s">
        <v>110</v>
      </c>
      <c r="F143" s="39" t="s">
        <v>585</v>
      </c>
      <c r="G143" s="16" t="s">
        <v>585</v>
      </c>
      <c r="H143" s="136"/>
      <c r="I143" s="149"/>
      <c r="J143" s="136"/>
      <c r="K143" s="136"/>
      <c r="L143" s="139">
        <v>2.5</v>
      </c>
      <c r="M143" s="139">
        <v>0.4</v>
      </c>
      <c r="N143" s="136">
        <f>L143*M143*$N$2</f>
        <v>3135</v>
      </c>
      <c r="O143" s="136"/>
      <c r="P143" s="136"/>
      <c r="Q143" s="140"/>
      <c r="R143" s="136"/>
      <c r="S143" s="136"/>
      <c r="T143" s="136"/>
      <c r="U143" s="136">
        <f t="shared" si="34"/>
        <v>3135</v>
      </c>
    </row>
    <row r="144" spans="1:21" s="5" customFormat="1" ht="15.75" outlineLevel="1">
      <c r="A144" s="1" t="s">
        <v>900</v>
      </c>
      <c r="B144" s="172"/>
      <c r="C144" s="2"/>
      <c r="D144" s="19"/>
      <c r="E144" s="44"/>
      <c r="F144" s="51"/>
      <c r="G144" s="2"/>
      <c r="H144" s="137">
        <f aca="true" t="shared" si="35" ref="H144:U144">SUBTOTAL(9,H137:H143)</f>
        <v>1164.3612456</v>
      </c>
      <c r="I144" s="144">
        <f t="shared" si="35"/>
        <v>2802</v>
      </c>
      <c r="J144" s="137">
        <f t="shared" si="35"/>
        <v>249.04000000000002</v>
      </c>
      <c r="K144" s="137">
        <f t="shared" si="35"/>
        <v>180</v>
      </c>
      <c r="L144" s="141">
        <f t="shared" si="35"/>
        <v>2.5</v>
      </c>
      <c r="M144" s="141">
        <f t="shared" si="35"/>
        <v>0.4</v>
      </c>
      <c r="N144" s="137">
        <f t="shared" si="35"/>
        <v>3135</v>
      </c>
      <c r="O144" s="45">
        <f t="shared" si="35"/>
        <v>0</v>
      </c>
      <c r="P144" s="137">
        <f t="shared" si="35"/>
        <v>0</v>
      </c>
      <c r="Q144" s="167">
        <f t="shared" si="35"/>
        <v>0</v>
      </c>
      <c r="R144" s="137">
        <f t="shared" si="35"/>
        <v>0</v>
      </c>
      <c r="S144" s="137">
        <f t="shared" si="35"/>
        <v>0</v>
      </c>
      <c r="T144" s="137">
        <f t="shared" si="35"/>
        <v>0</v>
      </c>
      <c r="U144" s="137">
        <f t="shared" si="35"/>
        <v>4728.4012456</v>
      </c>
    </row>
    <row r="145" spans="1:21" ht="15" outlineLevel="2">
      <c r="A145" s="9" t="s">
        <v>7</v>
      </c>
      <c r="B145" s="25" t="s">
        <v>92</v>
      </c>
      <c r="C145" s="7" t="s">
        <v>93</v>
      </c>
      <c r="D145" s="26">
        <v>409250</v>
      </c>
      <c r="E145" s="27" t="s">
        <v>95</v>
      </c>
      <c r="F145" s="20" t="s">
        <v>585</v>
      </c>
      <c r="G145" s="27" t="s">
        <v>585</v>
      </c>
      <c r="H145" s="136"/>
      <c r="I145" s="149"/>
      <c r="J145" s="136"/>
      <c r="K145" s="136"/>
      <c r="L145" s="139">
        <v>1</v>
      </c>
      <c r="M145" s="139">
        <v>0.1</v>
      </c>
      <c r="N145" s="136">
        <f>L145*M145*$N$2</f>
        <v>313.5</v>
      </c>
      <c r="O145" s="11"/>
      <c r="P145" s="136"/>
      <c r="Q145" s="140"/>
      <c r="R145" s="136"/>
      <c r="S145" s="136"/>
      <c r="T145" s="136"/>
      <c r="U145" s="136">
        <f>H145+J145+K145+N145+P145+R145+S145+T145</f>
        <v>313.5</v>
      </c>
    </row>
    <row r="146" spans="1:21" s="5" customFormat="1" ht="15.75" outlineLevel="1">
      <c r="A146" s="1" t="s">
        <v>901</v>
      </c>
      <c r="B146" s="172"/>
      <c r="C146" s="2"/>
      <c r="D146" s="19"/>
      <c r="E146" s="44"/>
      <c r="F146" s="51"/>
      <c r="G146" s="2"/>
      <c r="H146" s="137">
        <f aca="true" t="shared" si="36" ref="H146:U146">SUBTOTAL(9,H145:H145)</f>
        <v>0</v>
      </c>
      <c r="I146" s="144">
        <f t="shared" si="36"/>
        <v>0</v>
      </c>
      <c r="J146" s="137">
        <f t="shared" si="36"/>
        <v>0</v>
      </c>
      <c r="K146" s="137">
        <f t="shared" si="36"/>
        <v>0</v>
      </c>
      <c r="L146" s="141">
        <f t="shared" si="36"/>
        <v>1</v>
      </c>
      <c r="M146" s="141">
        <f t="shared" si="36"/>
        <v>0.1</v>
      </c>
      <c r="N146" s="137">
        <f t="shared" si="36"/>
        <v>313.5</v>
      </c>
      <c r="O146" s="45">
        <f t="shared" si="36"/>
        <v>0</v>
      </c>
      <c r="P146" s="137">
        <f t="shared" si="36"/>
        <v>0</v>
      </c>
      <c r="Q146" s="167">
        <f t="shared" si="36"/>
        <v>0</v>
      </c>
      <c r="R146" s="137">
        <f t="shared" si="36"/>
        <v>0</v>
      </c>
      <c r="S146" s="137">
        <f t="shared" si="36"/>
        <v>0</v>
      </c>
      <c r="T146" s="137">
        <f t="shared" si="36"/>
        <v>0</v>
      </c>
      <c r="U146" s="137">
        <f t="shared" si="36"/>
        <v>313.5</v>
      </c>
    </row>
    <row r="147" spans="1:21" ht="15" outlineLevel="2">
      <c r="A147" s="6" t="s">
        <v>230</v>
      </c>
      <c r="B147" s="7" t="s">
        <v>92</v>
      </c>
      <c r="C147" s="7" t="s">
        <v>93</v>
      </c>
      <c r="D147" s="8" t="s">
        <v>231</v>
      </c>
      <c r="E147" s="42" t="s">
        <v>95</v>
      </c>
      <c r="F147" s="39" t="s">
        <v>53</v>
      </c>
      <c r="G147" s="24" t="s">
        <v>62</v>
      </c>
      <c r="H147" s="136">
        <v>3575.7815757999997</v>
      </c>
      <c r="I147" s="149">
        <v>9551</v>
      </c>
      <c r="J147" s="136">
        <f>I147*$J$1</f>
        <v>955.1</v>
      </c>
      <c r="K147" s="136">
        <v>90</v>
      </c>
      <c r="L147" s="139"/>
      <c r="M147" s="139"/>
      <c r="N147" s="136"/>
      <c r="O147" s="11"/>
      <c r="P147" s="136"/>
      <c r="Q147" s="140"/>
      <c r="R147" s="136"/>
      <c r="S147" s="136"/>
      <c r="T147" s="136"/>
      <c r="U147" s="136">
        <f aca="true" t="shared" si="37" ref="U147:U153">H147+J147+K147+N147+P147+R147+S147+T147</f>
        <v>4620.8815758</v>
      </c>
    </row>
    <row r="148" spans="1:21" ht="15" outlineLevel="2">
      <c r="A148" s="6" t="s">
        <v>230</v>
      </c>
      <c r="B148" s="7" t="s">
        <v>92</v>
      </c>
      <c r="C148" s="7" t="s">
        <v>93</v>
      </c>
      <c r="D148" s="8" t="s">
        <v>231</v>
      </c>
      <c r="E148" s="42" t="s">
        <v>95</v>
      </c>
      <c r="F148" s="39" t="s">
        <v>53</v>
      </c>
      <c r="G148" s="24" t="s">
        <v>63</v>
      </c>
      <c r="H148" s="136">
        <v>82.94425999999999</v>
      </c>
      <c r="I148" s="149">
        <v>24</v>
      </c>
      <c r="J148" s="136">
        <f>I148*$J$2</f>
        <v>1.44</v>
      </c>
      <c r="K148" s="136">
        <v>0</v>
      </c>
      <c r="L148" s="139"/>
      <c r="M148" s="139"/>
      <c r="N148" s="136"/>
      <c r="O148" s="11"/>
      <c r="P148" s="136"/>
      <c r="Q148" s="140"/>
      <c r="R148" s="136"/>
      <c r="S148" s="136"/>
      <c r="T148" s="136"/>
      <c r="U148" s="136">
        <f t="shared" si="37"/>
        <v>84.38425999999998</v>
      </c>
    </row>
    <row r="149" spans="1:21" ht="15" outlineLevel="2">
      <c r="A149" s="6" t="s">
        <v>230</v>
      </c>
      <c r="B149" s="7" t="s">
        <v>92</v>
      </c>
      <c r="C149" s="7" t="s">
        <v>93</v>
      </c>
      <c r="D149" s="8" t="s">
        <v>231</v>
      </c>
      <c r="E149" s="42" t="s">
        <v>95</v>
      </c>
      <c r="F149" s="39" t="s">
        <v>53</v>
      </c>
      <c r="G149" s="24" t="s">
        <v>64</v>
      </c>
      <c r="H149" s="136">
        <v>132.88593219999998</v>
      </c>
      <c r="I149" s="149">
        <v>91</v>
      </c>
      <c r="J149" s="136">
        <f>I149*$J$2</f>
        <v>5.46</v>
      </c>
      <c r="K149" s="136">
        <v>15</v>
      </c>
      <c r="L149" s="139"/>
      <c r="M149" s="139"/>
      <c r="N149" s="136"/>
      <c r="O149" s="11"/>
      <c r="P149" s="136"/>
      <c r="Q149" s="140"/>
      <c r="R149" s="136"/>
      <c r="S149" s="136"/>
      <c r="T149" s="136"/>
      <c r="U149" s="136">
        <f t="shared" si="37"/>
        <v>153.3459322</v>
      </c>
    </row>
    <row r="150" spans="1:21" ht="15" outlineLevel="2">
      <c r="A150" s="6" t="s">
        <v>230</v>
      </c>
      <c r="B150" s="7" t="s">
        <v>92</v>
      </c>
      <c r="C150" s="7" t="s">
        <v>93</v>
      </c>
      <c r="D150" s="8" t="s">
        <v>231</v>
      </c>
      <c r="E150" s="42" t="s">
        <v>95</v>
      </c>
      <c r="F150" s="39" t="s">
        <v>53</v>
      </c>
      <c r="G150" s="24" t="s">
        <v>65</v>
      </c>
      <c r="H150" s="136">
        <v>476.8319751999998</v>
      </c>
      <c r="I150" s="149">
        <v>803</v>
      </c>
      <c r="J150" s="136">
        <f>I150*$J$2</f>
        <v>48.18</v>
      </c>
      <c r="K150" s="136">
        <v>60</v>
      </c>
      <c r="L150" s="139"/>
      <c r="M150" s="139"/>
      <c r="N150" s="136"/>
      <c r="O150" s="11"/>
      <c r="P150" s="136"/>
      <c r="Q150" s="140"/>
      <c r="R150" s="136"/>
      <c r="S150" s="136"/>
      <c r="T150" s="136"/>
      <c r="U150" s="136">
        <f t="shared" si="37"/>
        <v>585.0119751999998</v>
      </c>
    </row>
    <row r="151" spans="1:21" ht="15" outlineLevel="2">
      <c r="A151" s="6" t="s">
        <v>230</v>
      </c>
      <c r="B151" s="7" t="s">
        <v>92</v>
      </c>
      <c r="C151" s="7" t="s">
        <v>93</v>
      </c>
      <c r="D151" s="8" t="s">
        <v>231</v>
      </c>
      <c r="E151" s="42" t="s">
        <v>95</v>
      </c>
      <c r="F151" s="39" t="s">
        <v>53</v>
      </c>
      <c r="G151" s="24" t="s">
        <v>66</v>
      </c>
      <c r="H151" s="136">
        <v>36.667444800000006</v>
      </c>
      <c r="I151" s="149">
        <v>46</v>
      </c>
      <c r="J151" s="136">
        <f>I151*$J$2</f>
        <v>2.76</v>
      </c>
      <c r="K151" s="136">
        <v>15</v>
      </c>
      <c r="L151" s="139"/>
      <c r="M151" s="139"/>
      <c r="N151" s="136"/>
      <c r="O151" s="11"/>
      <c r="P151" s="136"/>
      <c r="Q151" s="140"/>
      <c r="R151" s="136"/>
      <c r="S151" s="136"/>
      <c r="T151" s="136"/>
      <c r="U151" s="136">
        <f t="shared" si="37"/>
        <v>54.4274448</v>
      </c>
    </row>
    <row r="152" spans="1:21" ht="15" outlineLevel="2">
      <c r="A152" s="6" t="str">
        <f>A151</f>
        <v>M231</v>
      </c>
      <c r="B152" s="11" t="str">
        <f>B151</f>
        <v>DOH-CHS</v>
      </c>
      <c r="C152" s="11" t="str">
        <f>C151</f>
        <v>COMM. HEALTH SERVICES</v>
      </c>
      <c r="D152" s="13" t="str">
        <f>D151</f>
        <v>403310</v>
      </c>
      <c r="E152" s="24" t="str">
        <f>E151</f>
        <v>40-30</v>
      </c>
      <c r="F152" s="39" t="s">
        <v>585</v>
      </c>
      <c r="G152" s="24" t="s">
        <v>585</v>
      </c>
      <c r="H152" s="136"/>
      <c r="I152" s="149"/>
      <c r="J152" s="136"/>
      <c r="K152" s="136"/>
      <c r="L152" s="139">
        <v>2.2</v>
      </c>
      <c r="M152" s="139">
        <v>0.32</v>
      </c>
      <c r="N152" s="136">
        <f>L152*M152*$N$2</f>
        <v>2207.0400000000004</v>
      </c>
      <c r="O152" s="11"/>
      <c r="P152" s="136"/>
      <c r="Q152" s="140"/>
      <c r="R152" s="136"/>
      <c r="S152" s="136"/>
      <c r="T152" s="136"/>
      <c r="U152" s="136">
        <f t="shared" si="37"/>
        <v>2207.0400000000004</v>
      </c>
    </row>
    <row r="153" spans="1:21" ht="15" outlineLevel="2">
      <c r="A153" s="36" t="s">
        <v>651</v>
      </c>
      <c r="B153" s="11" t="str">
        <f>B152</f>
        <v>DOH-CHS</v>
      </c>
      <c r="C153" s="11" t="str">
        <f>C152</f>
        <v>COMM. HEALTH SERVICES</v>
      </c>
      <c r="D153" s="13" t="str">
        <f>D152</f>
        <v>403310</v>
      </c>
      <c r="E153" s="27" t="str">
        <f>E152</f>
        <v>40-30</v>
      </c>
      <c r="F153" s="20" t="s">
        <v>683</v>
      </c>
      <c r="G153" s="11" t="s">
        <v>683</v>
      </c>
      <c r="H153" s="136"/>
      <c r="I153" s="140"/>
      <c r="J153" s="136"/>
      <c r="K153" s="136"/>
      <c r="L153" s="139"/>
      <c r="M153" s="139"/>
      <c r="N153" s="136"/>
      <c r="O153" s="34"/>
      <c r="P153" s="136"/>
      <c r="Q153" s="140"/>
      <c r="R153" s="136"/>
      <c r="S153" s="136"/>
      <c r="T153" s="150">
        <f>10.2+7.9</f>
        <v>18.1</v>
      </c>
      <c r="U153" s="136">
        <f t="shared" si="37"/>
        <v>18.1</v>
      </c>
    </row>
    <row r="154" spans="1:21" s="5" customFormat="1" ht="15.75" outlineLevel="1">
      <c r="A154" s="1" t="s">
        <v>902</v>
      </c>
      <c r="B154" s="172"/>
      <c r="C154" s="2"/>
      <c r="D154" s="19"/>
      <c r="E154" s="44"/>
      <c r="F154" s="51"/>
      <c r="G154" s="2"/>
      <c r="H154" s="137">
        <f aca="true" t="shared" si="38" ref="H154:U154">SUBTOTAL(9,H147:H153)</f>
        <v>4305.111188</v>
      </c>
      <c r="I154" s="144">
        <f t="shared" si="38"/>
        <v>10515</v>
      </c>
      <c r="J154" s="137">
        <f t="shared" si="38"/>
        <v>1012.94</v>
      </c>
      <c r="K154" s="137">
        <f t="shared" si="38"/>
        <v>180</v>
      </c>
      <c r="L154" s="141">
        <f t="shared" si="38"/>
        <v>2.2</v>
      </c>
      <c r="M154" s="141">
        <f t="shared" si="38"/>
        <v>0.32</v>
      </c>
      <c r="N154" s="137">
        <f t="shared" si="38"/>
        <v>2207.0400000000004</v>
      </c>
      <c r="O154" s="45">
        <f t="shared" si="38"/>
        <v>0</v>
      </c>
      <c r="P154" s="137">
        <f t="shared" si="38"/>
        <v>0</v>
      </c>
      <c r="Q154" s="167">
        <f t="shared" si="38"/>
        <v>0</v>
      </c>
      <c r="R154" s="137">
        <f t="shared" si="38"/>
        <v>0</v>
      </c>
      <c r="S154" s="137">
        <f t="shared" si="38"/>
        <v>0</v>
      </c>
      <c r="T154" s="137">
        <f t="shared" si="38"/>
        <v>18.1</v>
      </c>
      <c r="U154" s="137">
        <f t="shared" si="38"/>
        <v>7723.191188000001</v>
      </c>
    </row>
    <row r="155" spans="1:21" ht="15" outlineLevel="2">
      <c r="A155" s="6" t="s">
        <v>232</v>
      </c>
      <c r="B155" s="7" t="s">
        <v>92</v>
      </c>
      <c r="C155" s="7" t="s">
        <v>93</v>
      </c>
      <c r="D155" s="8" t="s">
        <v>233</v>
      </c>
      <c r="E155" s="42" t="s">
        <v>95</v>
      </c>
      <c r="F155" s="39" t="s">
        <v>53</v>
      </c>
      <c r="G155" s="24" t="s">
        <v>62</v>
      </c>
      <c r="H155" s="136">
        <v>363.72473620000017</v>
      </c>
      <c r="I155" s="149">
        <v>1082</v>
      </c>
      <c r="J155" s="136">
        <f>I155*$J$1</f>
        <v>108.2</v>
      </c>
      <c r="K155" s="136">
        <v>105</v>
      </c>
      <c r="L155" s="139"/>
      <c r="M155" s="139"/>
      <c r="N155" s="136"/>
      <c r="O155" s="11"/>
      <c r="P155" s="136"/>
      <c r="Q155" s="140"/>
      <c r="R155" s="136"/>
      <c r="S155" s="136"/>
      <c r="T155" s="136"/>
      <c r="U155" s="136">
        <f aca="true" t="shared" si="39" ref="U155:U162">H155+J155+K155+N155+P155+R155+S155+T155</f>
        <v>576.9247362000001</v>
      </c>
    </row>
    <row r="156" spans="1:21" ht="15" outlineLevel="2">
      <c r="A156" s="6" t="s">
        <v>232</v>
      </c>
      <c r="B156" s="7" t="s">
        <v>92</v>
      </c>
      <c r="C156" s="7" t="s">
        <v>93</v>
      </c>
      <c r="D156" s="8" t="s">
        <v>233</v>
      </c>
      <c r="E156" s="42" t="s">
        <v>95</v>
      </c>
      <c r="F156" s="39" t="s">
        <v>53</v>
      </c>
      <c r="G156" s="24" t="s">
        <v>63</v>
      </c>
      <c r="H156" s="136">
        <v>33.890752</v>
      </c>
      <c r="I156" s="149">
        <v>16</v>
      </c>
      <c r="J156" s="136">
        <f>I156*$J$2</f>
        <v>0.96</v>
      </c>
      <c r="K156" s="136">
        <v>30</v>
      </c>
      <c r="L156" s="139"/>
      <c r="M156" s="139"/>
      <c r="N156" s="136"/>
      <c r="O156" s="11"/>
      <c r="P156" s="136"/>
      <c r="Q156" s="140"/>
      <c r="R156" s="136"/>
      <c r="S156" s="136"/>
      <c r="T156" s="136"/>
      <c r="U156" s="136">
        <f t="shared" si="39"/>
        <v>64.850752</v>
      </c>
    </row>
    <row r="157" spans="1:21" ht="15" outlineLevel="2">
      <c r="A157" s="6" t="s">
        <v>232</v>
      </c>
      <c r="B157" s="7" t="s">
        <v>92</v>
      </c>
      <c r="C157" s="7" t="s">
        <v>93</v>
      </c>
      <c r="D157" s="8" t="s">
        <v>233</v>
      </c>
      <c r="E157" s="42" t="s">
        <v>95</v>
      </c>
      <c r="F157" s="39" t="s">
        <v>53</v>
      </c>
      <c r="G157" s="24" t="s">
        <v>64</v>
      </c>
      <c r="H157" s="136">
        <v>22.729453600000003</v>
      </c>
      <c r="I157" s="149">
        <v>22</v>
      </c>
      <c r="J157" s="136">
        <f>I157*$J$2</f>
        <v>1.3199999999999998</v>
      </c>
      <c r="K157" s="136">
        <v>0</v>
      </c>
      <c r="L157" s="139"/>
      <c r="M157" s="139"/>
      <c r="N157" s="136"/>
      <c r="O157" s="11"/>
      <c r="P157" s="136"/>
      <c r="Q157" s="140"/>
      <c r="R157" s="136"/>
      <c r="S157" s="136"/>
      <c r="T157" s="136"/>
      <c r="U157" s="136">
        <f t="shared" si="39"/>
        <v>24.049453600000003</v>
      </c>
    </row>
    <row r="158" spans="1:21" ht="15" outlineLevel="2">
      <c r="A158" s="6" t="s">
        <v>232</v>
      </c>
      <c r="B158" s="7" t="s">
        <v>92</v>
      </c>
      <c r="C158" s="7" t="s">
        <v>93</v>
      </c>
      <c r="D158" s="8" t="s">
        <v>233</v>
      </c>
      <c r="E158" s="42" t="s">
        <v>95</v>
      </c>
      <c r="F158" s="39" t="s">
        <v>53</v>
      </c>
      <c r="G158" s="24" t="s">
        <v>65</v>
      </c>
      <c r="H158" s="136">
        <v>725.9541687999999</v>
      </c>
      <c r="I158" s="149">
        <v>192</v>
      </c>
      <c r="J158" s="136">
        <f>I158*$J$2</f>
        <v>11.52</v>
      </c>
      <c r="K158" s="136">
        <v>30</v>
      </c>
      <c r="L158" s="139"/>
      <c r="M158" s="139"/>
      <c r="N158" s="136"/>
      <c r="O158" s="11"/>
      <c r="P158" s="136"/>
      <c r="Q158" s="140"/>
      <c r="R158" s="136"/>
      <c r="S158" s="136"/>
      <c r="T158" s="136"/>
      <c r="U158" s="136">
        <f t="shared" si="39"/>
        <v>767.4741687999999</v>
      </c>
    </row>
    <row r="159" spans="1:21" ht="15" outlineLevel="2">
      <c r="A159" s="6" t="s">
        <v>232</v>
      </c>
      <c r="B159" s="7" t="s">
        <v>92</v>
      </c>
      <c r="C159" s="7" t="s">
        <v>93</v>
      </c>
      <c r="D159" s="8" t="s">
        <v>233</v>
      </c>
      <c r="E159" s="42" t="s">
        <v>95</v>
      </c>
      <c r="F159" s="39" t="s">
        <v>53</v>
      </c>
      <c r="G159" s="24" t="s">
        <v>66</v>
      </c>
      <c r="H159" s="136">
        <v>7.8298962</v>
      </c>
      <c r="I159" s="149">
        <v>8</v>
      </c>
      <c r="J159" s="136">
        <f>I159*$J$2</f>
        <v>0.48</v>
      </c>
      <c r="K159" s="136">
        <v>15</v>
      </c>
      <c r="L159" s="139"/>
      <c r="M159" s="139"/>
      <c r="N159" s="136"/>
      <c r="O159" s="11"/>
      <c r="P159" s="136"/>
      <c r="Q159" s="140"/>
      <c r="R159" s="136"/>
      <c r="S159" s="136"/>
      <c r="T159" s="136"/>
      <c r="U159" s="136">
        <f t="shared" si="39"/>
        <v>23.3098962</v>
      </c>
    </row>
    <row r="160" spans="1:21" ht="15" outlineLevel="2">
      <c r="A160" s="6" t="s">
        <v>232</v>
      </c>
      <c r="B160" s="7" t="s">
        <v>92</v>
      </c>
      <c r="C160" s="7" t="s">
        <v>93</v>
      </c>
      <c r="D160" s="8" t="s">
        <v>233</v>
      </c>
      <c r="E160" s="42" t="s">
        <v>95</v>
      </c>
      <c r="F160" s="39" t="s">
        <v>53</v>
      </c>
      <c r="G160" s="11" t="s">
        <v>90</v>
      </c>
      <c r="H160" s="136">
        <v>0.272636</v>
      </c>
      <c r="I160" s="140">
        <v>1</v>
      </c>
      <c r="J160" s="136">
        <f>I160*$J$2</f>
        <v>0.06</v>
      </c>
      <c r="K160" s="136">
        <v>0</v>
      </c>
      <c r="L160" s="139"/>
      <c r="M160" s="139"/>
      <c r="N160" s="136"/>
      <c r="O160" s="11"/>
      <c r="P160" s="136"/>
      <c r="Q160" s="140"/>
      <c r="R160" s="136"/>
      <c r="S160" s="136"/>
      <c r="T160" s="136"/>
      <c r="U160" s="136">
        <f t="shared" si="39"/>
        <v>0.332636</v>
      </c>
    </row>
    <row r="161" spans="1:21" ht="15" outlineLevel="2">
      <c r="A161" s="6" t="str">
        <f>A160</f>
        <v>M233</v>
      </c>
      <c r="B161" s="11" t="str">
        <f>B160</f>
        <v>DOH-CHS</v>
      </c>
      <c r="C161" s="11" t="str">
        <f>C160</f>
        <v>COMM. HEALTH SERVICES</v>
      </c>
      <c r="D161" s="13" t="str">
        <f>D160</f>
        <v>403320</v>
      </c>
      <c r="E161" s="24" t="str">
        <f>E160</f>
        <v>40-30</v>
      </c>
      <c r="F161" s="39" t="s">
        <v>585</v>
      </c>
      <c r="G161" s="24" t="s">
        <v>585</v>
      </c>
      <c r="H161" s="136"/>
      <c r="I161" s="140"/>
      <c r="J161" s="136"/>
      <c r="K161" s="136"/>
      <c r="L161" s="139">
        <v>1</v>
      </c>
      <c r="M161" s="139">
        <v>1</v>
      </c>
      <c r="N161" s="136">
        <f>L161*M161*$N$2</f>
        <v>3135</v>
      </c>
      <c r="O161" s="11"/>
      <c r="P161" s="136"/>
      <c r="Q161" s="140"/>
      <c r="R161" s="136"/>
      <c r="S161" s="136"/>
      <c r="T161" s="136"/>
      <c r="U161" s="136">
        <f t="shared" si="39"/>
        <v>3135</v>
      </c>
    </row>
    <row r="162" spans="1:21" ht="15" outlineLevel="2">
      <c r="A162" s="36" t="s">
        <v>652</v>
      </c>
      <c r="B162" s="11" t="str">
        <f>B161</f>
        <v>DOH-CHS</v>
      </c>
      <c r="C162" s="11" t="str">
        <f>C161</f>
        <v>COMM. HEALTH SERVICES</v>
      </c>
      <c r="D162" s="13" t="str">
        <f>D161</f>
        <v>403320</v>
      </c>
      <c r="E162" s="27" t="str">
        <f>E161</f>
        <v>40-30</v>
      </c>
      <c r="F162" s="20" t="s">
        <v>683</v>
      </c>
      <c r="G162" s="11" t="s">
        <v>683</v>
      </c>
      <c r="H162" s="136"/>
      <c r="I162" s="140"/>
      <c r="J162" s="136"/>
      <c r="K162" s="136"/>
      <c r="L162" s="139"/>
      <c r="M162" s="139"/>
      <c r="N162" s="136"/>
      <c r="O162" s="34"/>
      <c r="P162" s="136"/>
      <c r="Q162" s="140"/>
      <c r="R162" s="136"/>
      <c r="S162" s="136"/>
      <c r="T162" s="150">
        <v>5.31</v>
      </c>
      <c r="U162" s="136">
        <f t="shared" si="39"/>
        <v>5.31</v>
      </c>
    </row>
    <row r="163" spans="1:21" s="5" customFormat="1" ht="15.75" outlineLevel="1">
      <c r="A163" s="1" t="s">
        <v>903</v>
      </c>
      <c r="B163" s="172"/>
      <c r="C163" s="2"/>
      <c r="D163" s="19"/>
      <c r="E163" s="44"/>
      <c r="F163" s="51"/>
      <c r="G163" s="2"/>
      <c r="H163" s="137">
        <f aca="true" t="shared" si="40" ref="H163:U163">SUBTOTAL(9,H155:H162)</f>
        <v>1154.4016428</v>
      </c>
      <c r="I163" s="144">
        <f t="shared" si="40"/>
        <v>1321</v>
      </c>
      <c r="J163" s="137">
        <f t="shared" si="40"/>
        <v>122.53999999999999</v>
      </c>
      <c r="K163" s="137">
        <f t="shared" si="40"/>
        <v>180</v>
      </c>
      <c r="L163" s="141">
        <f t="shared" si="40"/>
        <v>1</v>
      </c>
      <c r="M163" s="141">
        <f t="shared" si="40"/>
        <v>1</v>
      </c>
      <c r="N163" s="137">
        <f t="shared" si="40"/>
        <v>3135</v>
      </c>
      <c r="O163" s="45">
        <f t="shared" si="40"/>
        <v>0</v>
      </c>
      <c r="P163" s="137">
        <f t="shared" si="40"/>
        <v>0</v>
      </c>
      <c r="Q163" s="167">
        <f t="shared" si="40"/>
        <v>0</v>
      </c>
      <c r="R163" s="137">
        <f t="shared" si="40"/>
        <v>0</v>
      </c>
      <c r="S163" s="137">
        <f t="shared" si="40"/>
        <v>0</v>
      </c>
      <c r="T163" s="137">
        <f t="shared" si="40"/>
        <v>5.31</v>
      </c>
      <c r="U163" s="137">
        <f t="shared" si="40"/>
        <v>4597.251642800001</v>
      </c>
    </row>
    <row r="164" spans="1:21" ht="15" outlineLevel="2">
      <c r="A164" s="6" t="s">
        <v>251</v>
      </c>
      <c r="B164" s="7" t="s">
        <v>92</v>
      </c>
      <c r="C164" s="7" t="s">
        <v>252</v>
      </c>
      <c r="D164" s="7" t="s">
        <v>253</v>
      </c>
      <c r="E164" s="42" t="s">
        <v>95</v>
      </c>
      <c r="F164" s="39" t="s">
        <v>53</v>
      </c>
      <c r="G164" s="24" t="s">
        <v>62</v>
      </c>
      <c r="H164" s="136">
        <v>3.0105306</v>
      </c>
      <c r="I164" s="149">
        <v>8</v>
      </c>
      <c r="J164" s="136">
        <f>I164*$J$1</f>
        <v>0.8</v>
      </c>
      <c r="K164" s="136">
        <v>0</v>
      </c>
      <c r="L164" s="139"/>
      <c r="M164" s="139"/>
      <c r="N164" s="136"/>
      <c r="O164" s="11"/>
      <c r="P164" s="136"/>
      <c r="Q164" s="140"/>
      <c r="R164" s="136"/>
      <c r="S164" s="136"/>
      <c r="T164" s="136"/>
      <c r="U164" s="136">
        <f aca="true" t="shared" si="41" ref="U164:U169">H164+J164+K164+N164+P164+R164+S164+T164</f>
        <v>3.8105306</v>
      </c>
    </row>
    <row r="165" spans="1:21" ht="15" outlineLevel="2">
      <c r="A165" s="6" t="s">
        <v>251</v>
      </c>
      <c r="B165" s="7" t="s">
        <v>92</v>
      </c>
      <c r="C165" s="7" t="s">
        <v>252</v>
      </c>
      <c r="D165" s="7" t="s">
        <v>253</v>
      </c>
      <c r="E165" s="42" t="s">
        <v>95</v>
      </c>
      <c r="F165" s="39" t="s">
        <v>53</v>
      </c>
      <c r="G165" s="24" t="s">
        <v>63</v>
      </c>
      <c r="H165" s="136">
        <v>507.721634</v>
      </c>
      <c r="I165" s="149">
        <v>139</v>
      </c>
      <c r="J165" s="136">
        <f>I165*$J$2</f>
        <v>8.34</v>
      </c>
      <c r="K165" s="136">
        <v>75</v>
      </c>
      <c r="L165" s="139"/>
      <c r="M165" s="139"/>
      <c r="N165" s="136"/>
      <c r="O165" s="11"/>
      <c r="P165" s="136"/>
      <c r="Q165" s="140"/>
      <c r="R165" s="136"/>
      <c r="S165" s="136"/>
      <c r="T165" s="136"/>
      <c r="U165" s="136">
        <f t="shared" si="41"/>
        <v>591.061634</v>
      </c>
    </row>
    <row r="166" spans="1:21" ht="15" outlineLevel="2">
      <c r="A166" s="6" t="s">
        <v>251</v>
      </c>
      <c r="B166" s="7" t="s">
        <v>92</v>
      </c>
      <c r="C166" s="7" t="s">
        <v>252</v>
      </c>
      <c r="D166" s="7" t="s">
        <v>253</v>
      </c>
      <c r="E166" s="42" t="s">
        <v>95</v>
      </c>
      <c r="F166" s="39" t="s">
        <v>53</v>
      </c>
      <c r="G166" s="11" t="s">
        <v>64</v>
      </c>
      <c r="H166" s="136">
        <v>22.964339999999996</v>
      </c>
      <c r="I166" s="140">
        <v>21</v>
      </c>
      <c r="J166" s="136">
        <f>I166*$J$2</f>
        <v>1.26</v>
      </c>
      <c r="K166" s="136">
        <v>0</v>
      </c>
      <c r="L166" s="139"/>
      <c r="M166" s="139"/>
      <c r="N166" s="136"/>
      <c r="O166" s="11"/>
      <c r="P166" s="136"/>
      <c r="Q166" s="140"/>
      <c r="R166" s="136"/>
      <c r="S166" s="136"/>
      <c r="T166" s="136"/>
      <c r="U166" s="136">
        <f t="shared" si="41"/>
        <v>24.224339999999998</v>
      </c>
    </row>
    <row r="167" spans="1:21" ht="15" outlineLevel="2">
      <c r="A167" s="6" t="s">
        <v>251</v>
      </c>
      <c r="B167" s="7" t="s">
        <v>92</v>
      </c>
      <c r="C167" s="7" t="s">
        <v>252</v>
      </c>
      <c r="D167" s="7" t="s">
        <v>253</v>
      </c>
      <c r="E167" s="42" t="s">
        <v>95</v>
      </c>
      <c r="F167" s="39" t="s">
        <v>53</v>
      </c>
      <c r="G167" s="24" t="s">
        <v>65</v>
      </c>
      <c r="H167" s="136">
        <v>45.320491999999994</v>
      </c>
      <c r="I167" s="149">
        <v>75</v>
      </c>
      <c r="J167" s="136">
        <f>I167*$J$2</f>
        <v>4.5</v>
      </c>
      <c r="K167" s="136">
        <v>90</v>
      </c>
      <c r="L167" s="139"/>
      <c r="M167" s="139"/>
      <c r="N167" s="136"/>
      <c r="O167" s="11"/>
      <c r="P167" s="136"/>
      <c r="Q167" s="140"/>
      <c r="R167" s="136"/>
      <c r="S167" s="136"/>
      <c r="T167" s="136"/>
      <c r="U167" s="136">
        <f t="shared" si="41"/>
        <v>139.820492</v>
      </c>
    </row>
    <row r="168" spans="1:21" ht="15" outlineLevel="2">
      <c r="A168" s="36" t="s">
        <v>654</v>
      </c>
      <c r="B168" s="11" t="str">
        <f>B167</f>
        <v>DOH-CHS</v>
      </c>
      <c r="C168" s="11" t="str">
        <f>C167</f>
        <v>COMMUNITY HEALTH SERVICES</v>
      </c>
      <c r="D168" s="13" t="str">
        <f>D167</f>
        <v>4SA45-05-7</v>
      </c>
      <c r="E168" s="27" t="str">
        <f>E167</f>
        <v>40-30</v>
      </c>
      <c r="F168" s="20" t="s">
        <v>683</v>
      </c>
      <c r="G168" s="11" t="s">
        <v>683</v>
      </c>
      <c r="H168" s="136"/>
      <c r="I168" s="140"/>
      <c r="J168" s="136"/>
      <c r="K168" s="136"/>
      <c r="L168" s="139"/>
      <c r="M168" s="139"/>
      <c r="N168" s="136"/>
      <c r="O168" s="34"/>
      <c r="P168" s="136"/>
      <c r="Q168" s="140"/>
      <c r="R168" s="136"/>
      <c r="S168" s="136"/>
      <c r="T168" s="150">
        <f>39.9+7.08+6.49</f>
        <v>53.47</v>
      </c>
      <c r="U168" s="136">
        <f t="shared" si="41"/>
        <v>53.47</v>
      </c>
    </row>
    <row r="169" spans="1:21" ht="15" outlineLevel="2">
      <c r="A169" s="36" t="s">
        <v>654</v>
      </c>
      <c r="B169" s="11" t="str">
        <f>B167</f>
        <v>DOH-CHS</v>
      </c>
      <c r="C169" s="11" t="str">
        <f>C167</f>
        <v>COMMUNITY HEALTH SERVICES</v>
      </c>
      <c r="D169" s="13" t="str">
        <f>D167</f>
        <v>4SA45-05-7</v>
      </c>
      <c r="E169" s="27" t="str">
        <f>E167</f>
        <v>40-30</v>
      </c>
      <c r="F169" s="20" t="s">
        <v>53</v>
      </c>
      <c r="G169" s="11" t="s">
        <v>687</v>
      </c>
      <c r="H169" s="136"/>
      <c r="I169" s="140"/>
      <c r="J169" s="136"/>
      <c r="K169" s="136"/>
      <c r="L169" s="139"/>
      <c r="M169" s="139"/>
      <c r="N169" s="136"/>
      <c r="O169" s="34"/>
      <c r="P169" s="136"/>
      <c r="Q169" s="140"/>
      <c r="R169" s="136">
        <v>7672.36</v>
      </c>
      <c r="S169" s="136"/>
      <c r="T169" s="150"/>
      <c r="U169" s="136">
        <f t="shared" si="41"/>
        <v>7672.36</v>
      </c>
    </row>
    <row r="170" spans="1:21" s="5" customFormat="1" ht="15.75" outlineLevel="1">
      <c r="A170" s="1" t="s">
        <v>904</v>
      </c>
      <c r="B170" s="172"/>
      <c r="C170" s="2"/>
      <c r="D170" s="19"/>
      <c r="E170" s="44"/>
      <c r="F170" s="51"/>
      <c r="G170" s="2"/>
      <c r="H170" s="137">
        <f aca="true" t="shared" si="42" ref="H170:U170">SUBTOTAL(9,H164:H169)</f>
        <v>579.0169966</v>
      </c>
      <c r="I170" s="144">
        <f t="shared" si="42"/>
        <v>243</v>
      </c>
      <c r="J170" s="137">
        <f t="shared" si="42"/>
        <v>14.9</v>
      </c>
      <c r="K170" s="137">
        <f t="shared" si="42"/>
        <v>165</v>
      </c>
      <c r="L170" s="141">
        <f t="shared" si="42"/>
        <v>0</v>
      </c>
      <c r="M170" s="141">
        <f t="shared" si="42"/>
        <v>0</v>
      </c>
      <c r="N170" s="137">
        <f t="shared" si="42"/>
        <v>0</v>
      </c>
      <c r="O170" s="45">
        <f t="shared" si="42"/>
        <v>0</v>
      </c>
      <c r="P170" s="137">
        <f t="shared" si="42"/>
        <v>0</v>
      </c>
      <c r="Q170" s="167">
        <f t="shared" si="42"/>
        <v>0</v>
      </c>
      <c r="R170" s="137">
        <f t="shared" si="42"/>
        <v>7672.36</v>
      </c>
      <c r="S170" s="137">
        <f t="shared" si="42"/>
        <v>0</v>
      </c>
      <c r="T170" s="137">
        <f t="shared" si="42"/>
        <v>53.47</v>
      </c>
      <c r="U170" s="137">
        <f t="shared" si="42"/>
        <v>8484.746996599999</v>
      </c>
    </row>
    <row r="171" spans="1:21" ht="15" outlineLevel="2">
      <c r="A171" s="6" t="s">
        <v>275</v>
      </c>
      <c r="B171" s="7" t="s">
        <v>92</v>
      </c>
      <c r="C171" s="7" t="s">
        <v>93</v>
      </c>
      <c r="D171" s="8" t="s">
        <v>276</v>
      </c>
      <c r="E171" s="42" t="s">
        <v>95</v>
      </c>
      <c r="F171" s="39" t="s">
        <v>53</v>
      </c>
      <c r="G171" s="24" t="s">
        <v>62</v>
      </c>
      <c r="H171" s="136">
        <v>45.3393668</v>
      </c>
      <c r="I171" s="149">
        <v>134</v>
      </c>
      <c r="J171" s="136">
        <f>I171*$J$1</f>
        <v>13.4</v>
      </c>
      <c r="K171" s="136">
        <v>150</v>
      </c>
      <c r="L171" s="139"/>
      <c r="M171" s="139"/>
      <c r="N171" s="136"/>
      <c r="O171" s="11"/>
      <c r="P171" s="136"/>
      <c r="Q171" s="140"/>
      <c r="R171" s="136"/>
      <c r="S171" s="136"/>
      <c r="T171" s="136"/>
      <c r="U171" s="136">
        <f aca="true" t="shared" si="43" ref="U171:U177">H171+J171+K171+N171+P171+R171+S171+T171</f>
        <v>208.7393668</v>
      </c>
    </row>
    <row r="172" spans="1:21" ht="15" outlineLevel="2">
      <c r="A172" s="6" t="s">
        <v>275</v>
      </c>
      <c r="B172" s="7" t="s">
        <v>92</v>
      </c>
      <c r="C172" s="7" t="s">
        <v>93</v>
      </c>
      <c r="D172" s="8" t="s">
        <v>276</v>
      </c>
      <c r="E172" s="42" t="s">
        <v>95</v>
      </c>
      <c r="F172" s="39" t="s">
        <v>53</v>
      </c>
      <c r="G172" s="24" t="s">
        <v>63</v>
      </c>
      <c r="H172" s="136">
        <v>114.360316</v>
      </c>
      <c r="I172" s="149">
        <v>65</v>
      </c>
      <c r="J172" s="136">
        <f>I172*$J$2</f>
        <v>3.9</v>
      </c>
      <c r="K172" s="136">
        <v>15</v>
      </c>
      <c r="L172" s="139"/>
      <c r="M172" s="139"/>
      <c r="N172" s="136"/>
      <c r="O172" s="11"/>
      <c r="P172" s="136"/>
      <c r="Q172" s="140"/>
      <c r="R172" s="136"/>
      <c r="S172" s="136"/>
      <c r="T172" s="136"/>
      <c r="U172" s="136">
        <f t="shared" si="43"/>
        <v>133.260316</v>
      </c>
    </row>
    <row r="173" spans="1:21" ht="15" outlineLevel="2">
      <c r="A173" s="6" t="s">
        <v>275</v>
      </c>
      <c r="B173" s="7" t="s">
        <v>92</v>
      </c>
      <c r="C173" s="7" t="s">
        <v>93</v>
      </c>
      <c r="D173" s="8" t="s">
        <v>276</v>
      </c>
      <c r="E173" s="42" t="s">
        <v>95</v>
      </c>
      <c r="F173" s="39" t="s">
        <v>53</v>
      </c>
      <c r="G173" s="24" t="s">
        <v>64</v>
      </c>
      <c r="H173" s="136">
        <v>4.781616</v>
      </c>
      <c r="I173" s="149">
        <v>4</v>
      </c>
      <c r="J173" s="136">
        <f>I173*$J$2</f>
        <v>0.24</v>
      </c>
      <c r="K173" s="136">
        <v>0</v>
      </c>
      <c r="L173" s="139"/>
      <c r="M173" s="139"/>
      <c r="N173" s="136"/>
      <c r="O173" s="11"/>
      <c r="P173" s="136"/>
      <c r="Q173" s="140"/>
      <c r="R173" s="136"/>
      <c r="S173" s="136"/>
      <c r="T173" s="136"/>
      <c r="U173" s="136">
        <f t="shared" si="43"/>
        <v>5.021616</v>
      </c>
    </row>
    <row r="174" spans="1:21" ht="15" outlineLevel="2">
      <c r="A174" s="6" t="s">
        <v>275</v>
      </c>
      <c r="B174" s="7" t="s">
        <v>92</v>
      </c>
      <c r="C174" s="7" t="s">
        <v>93</v>
      </c>
      <c r="D174" s="8" t="s">
        <v>276</v>
      </c>
      <c r="E174" s="42" t="s">
        <v>95</v>
      </c>
      <c r="F174" s="39" t="s">
        <v>53</v>
      </c>
      <c r="G174" s="24" t="s">
        <v>65</v>
      </c>
      <c r="H174" s="136">
        <v>9.710035999999999</v>
      </c>
      <c r="I174" s="149">
        <v>16</v>
      </c>
      <c r="J174" s="136">
        <f>I174*$J$2</f>
        <v>0.96</v>
      </c>
      <c r="K174" s="136">
        <v>0</v>
      </c>
      <c r="L174" s="139"/>
      <c r="M174" s="139"/>
      <c r="N174" s="136"/>
      <c r="O174" s="11"/>
      <c r="P174" s="136"/>
      <c r="Q174" s="140"/>
      <c r="R174" s="136"/>
      <c r="S174" s="136"/>
      <c r="T174" s="136"/>
      <c r="U174" s="136">
        <f t="shared" si="43"/>
        <v>10.670036</v>
      </c>
    </row>
    <row r="175" spans="1:21" ht="15" outlineLevel="2">
      <c r="A175" s="6" t="s">
        <v>275</v>
      </c>
      <c r="B175" s="7" t="s">
        <v>92</v>
      </c>
      <c r="C175" s="7" t="s">
        <v>93</v>
      </c>
      <c r="D175" s="8" t="s">
        <v>276</v>
      </c>
      <c r="E175" s="42" t="s">
        <v>95</v>
      </c>
      <c r="F175" s="39" t="s">
        <v>53</v>
      </c>
      <c r="G175" s="24" t="s">
        <v>66</v>
      </c>
      <c r="H175" s="136">
        <v>2.3824191999999997</v>
      </c>
      <c r="I175" s="149">
        <v>2</v>
      </c>
      <c r="J175" s="136">
        <f>I175*$J$2</f>
        <v>0.12</v>
      </c>
      <c r="K175" s="136">
        <v>15</v>
      </c>
      <c r="L175" s="139"/>
      <c r="M175" s="139"/>
      <c r="N175" s="136"/>
      <c r="O175" s="11"/>
      <c r="P175" s="136"/>
      <c r="Q175" s="140"/>
      <c r="R175" s="136"/>
      <c r="S175" s="136"/>
      <c r="T175" s="136"/>
      <c r="U175" s="136">
        <f t="shared" si="43"/>
        <v>17.5024192</v>
      </c>
    </row>
    <row r="176" spans="1:21" ht="15" outlineLevel="2">
      <c r="A176" s="6" t="str">
        <f>A175</f>
        <v>M309</v>
      </c>
      <c r="B176" s="11" t="str">
        <f>B175</f>
        <v>DOH-CHS</v>
      </c>
      <c r="C176" s="11" t="str">
        <f>C175</f>
        <v>COMM. HEALTH SERVICES</v>
      </c>
      <c r="D176" s="13" t="str">
        <f>D175</f>
        <v>403305</v>
      </c>
      <c r="E176" s="24" t="str">
        <f>E175</f>
        <v>40-30</v>
      </c>
      <c r="F176" s="39" t="s">
        <v>585</v>
      </c>
      <c r="G176" s="24" t="s">
        <v>585</v>
      </c>
      <c r="H176" s="136"/>
      <c r="I176" s="149"/>
      <c r="J176" s="136"/>
      <c r="K176" s="136"/>
      <c r="L176" s="139">
        <v>2.2</v>
      </c>
      <c r="M176" s="139">
        <v>0.07</v>
      </c>
      <c r="N176" s="136">
        <f>L176*M176*$N$2</f>
        <v>482.7900000000001</v>
      </c>
      <c r="O176" s="11"/>
      <c r="P176" s="136"/>
      <c r="Q176" s="140"/>
      <c r="R176" s="136"/>
      <c r="S176" s="136"/>
      <c r="T176" s="136"/>
      <c r="U176" s="136">
        <f t="shared" si="43"/>
        <v>482.7900000000001</v>
      </c>
    </row>
    <row r="177" spans="1:21" ht="15" outlineLevel="2">
      <c r="A177" s="28" t="s">
        <v>275</v>
      </c>
      <c r="B177" s="11" t="str">
        <f>B176</f>
        <v>DOH-CHS</v>
      </c>
      <c r="C177" s="11" t="str">
        <f>C176</f>
        <v>COMM. HEALTH SERVICES</v>
      </c>
      <c r="D177" s="13" t="str">
        <f>D176</f>
        <v>403305</v>
      </c>
      <c r="E177" s="38" t="str">
        <f>E176</f>
        <v>40-30</v>
      </c>
      <c r="F177" s="20" t="s">
        <v>615</v>
      </c>
      <c r="G177" s="11" t="s">
        <v>615</v>
      </c>
      <c r="H177" s="136"/>
      <c r="I177" s="140"/>
      <c r="J177" s="136"/>
      <c r="K177" s="136"/>
      <c r="L177" s="139"/>
      <c r="M177" s="139"/>
      <c r="N177" s="136"/>
      <c r="O177" s="29">
        <f>0.75+0.75</f>
        <v>1.5</v>
      </c>
      <c r="P177" s="136">
        <f>O177*$P$2</f>
        <v>108</v>
      </c>
      <c r="Q177" s="140"/>
      <c r="R177" s="136"/>
      <c r="S177" s="136"/>
      <c r="T177" s="136"/>
      <c r="U177" s="136">
        <f t="shared" si="43"/>
        <v>108</v>
      </c>
    </row>
    <row r="178" spans="1:21" s="5" customFormat="1" ht="15.75" outlineLevel="1">
      <c r="A178" s="1" t="s">
        <v>905</v>
      </c>
      <c r="B178" s="172"/>
      <c r="C178" s="2"/>
      <c r="D178" s="19"/>
      <c r="E178" s="44"/>
      <c r="F178" s="51"/>
      <c r="G178" s="2"/>
      <c r="H178" s="137">
        <f aca="true" t="shared" si="44" ref="H178:U178">SUBTOTAL(9,H171:H177)</f>
        <v>176.57375399999998</v>
      </c>
      <c r="I178" s="144">
        <f t="shared" si="44"/>
        <v>221</v>
      </c>
      <c r="J178" s="137">
        <f t="shared" si="44"/>
        <v>18.62</v>
      </c>
      <c r="K178" s="137">
        <f t="shared" si="44"/>
        <v>180</v>
      </c>
      <c r="L178" s="141">
        <f t="shared" si="44"/>
        <v>2.2</v>
      </c>
      <c r="M178" s="141">
        <f t="shared" si="44"/>
        <v>0.07</v>
      </c>
      <c r="N178" s="137">
        <f t="shared" si="44"/>
        <v>482.7900000000001</v>
      </c>
      <c r="O178" s="45">
        <f t="shared" si="44"/>
        <v>1.5</v>
      </c>
      <c r="P178" s="137">
        <f t="shared" si="44"/>
        <v>108</v>
      </c>
      <c r="Q178" s="167">
        <f t="shared" si="44"/>
        <v>0</v>
      </c>
      <c r="R178" s="137">
        <f t="shared" si="44"/>
        <v>0</v>
      </c>
      <c r="S178" s="137">
        <f t="shared" si="44"/>
        <v>0</v>
      </c>
      <c r="T178" s="137">
        <f t="shared" si="44"/>
        <v>0</v>
      </c>
      <c r="U178" s="137">
        <f t="shared" si="44"/>
        <v>965.9837540000001</v>
      </c>
    </row>
    <row r="179" spans="1:21" ht="15" outlineLevel="2">
      <c r="A179" s="6" t="s">
        <v>277</v>
      </c>
      <c r="B179" s="7" t="s">
        <v>92</v>
      </c>
      <c r="C179" s="7" t="s">
        <v>93</v>
      </c>
      <c r="D179" s="8" t="s">
        <v>278</v>
      </c>
      <c r="E179" s="42" t="s">
        <v>95</v>
      </c>
      <c r="F179" s="39" t="s">
        <v>53</v>
      </c>
      <c r="G179" s="24" t="s">
        <v>62</v>
      </c>
      <c r="H179" s="136">
        <v>24.515219399999992</v>
      </c>
      <c r="I179" s="149">
        <v>74</v>
      </c>
      <c r="J179" s="136">
        <f>I179*$J$1</f>
        <v>7.4</v>
      </c>
      <c r="K179" s="136">
        <v>60</v>
      </c>
      <c r="L179" s="139"/>
      <c r="M179" s="139"/>
      <c r="N179" s="136"/>
      <c r="O179" s="11"/>
      <c r="P179" s="136"/>
      <c r="Q179" s="140"/>
      <c r="R179" s="136"/>
      <c r="S179" s="136"/>
      <c r="T179" s="136"/>
      <c r="U179" s="136">
        <f>H179+J179+K179+N179+P179+R179+S179+T179</f>
        <v>91.91521939999998</v>
      </c>
    </row>
    <row r="180" spans="1:21" ht="15" outlineLevel="2">
      <c r="A180" s="6" t="s">
        <v>277</v>
      </c>
      <c r="B180" s="7" t="s">
        <v>92</v>
      </c>
      <c r="C180" s="7" t="s">
        <v>93</v>
      </c>
      <c r="D180" s="8" t="s">
        <v>278</v>
      </c>
      <c r="E180" s="42" t="s">
        <v>95</v>
      </c>
      <c r="F180" s="39" t="s">
        <v>53</v>
      </c>
      <c r="G180" s="24" t="s">
        <v>63</v>
      </c>
      <c r="H180" s="136">
        <v>6.511806</v>
      </c>
      <c r="I180" s="149">
        <v>3</v>
      </c>
      <c r="J180" s="136">
        <f>I180*$J$2</f>
        <v>0.18</v>
      </c>
      <c r="K180" s="136">
        <v>15</v>
      </c>
      <c r="L180" s="139"/>
      <c r="M180" s="139"/>
      <c r="N180" s="136"/>
      <c r="O180" s="11"/>
      <c r="P180" s="136"/>
      <c r="Q180" s="140"/>
      <c r="R180" s="136"/>
      <c r="S180" s="136"/>
      <c r="T180" s="136"/>
      <c r="U180" s="136">
        <f>H180+J180+K180+N180+P180+R180+S180+T180</f>
        <v>21.691806</v>
      </c>
    </row>
    <row r="181" spans="1:21" ht="15" outlineLevel="2">
      <c r="A181" s="6" t="s">
        <v>277</v>
      </c>
      <c r="B181" s="7" t="s">
        <v>92</v>
      </c>
      <c r="C181" s="7" t="s">
        <v>93</v>
      </c>
      <c r="D181" s="8" t="s">
        <v>278</v>
      </c>
      <c r="E181" s="42" t="s">
        <v>95</v>
      </c>
      <c r="F181" s="39" t="s">
        <v>53</v>
      </c>
      <c r="G181" s="24" t="s">
        <v>64</v>
      </c>
      <c r="H181" s="136">
        <v>36.896039599999995</v>
      </c>
      <c r="I181" s="149">
        <v>24</v>
      </c>
      <c r="J181" s="136">
        <f>I181*$J$2</f>
        <v>1.44</v>
      </c>
      <c r="K181" s="136">
        <v>45</v>
      </c>
      <c r="L181" s="139"/>
      <c r="M181" s="139"/>
      <c r="N181" s="136"/>
      <c r="O181" s="11"/>
      <c r="P181" s="136"/>
      <c r="Q181" s="140"/>
      <c r="R181" s="136"/>
      <c r="S181" s="136"/>
      <c r="T181" s="136"/>
      <c r="U181" s="136">
        <f>H181+J181+K181+N181+P181+R181+S181+T181</f>
        <v>83.33603959999999</v>
      </c>
    </row>
    <row r="182" spans="1:21" ht="15" outlineLevel="2">
      <c r="A182" s="6" t="s">
        <v>277</v>
      </c>
      <c r="B182" s="7" t="s">
        <v>92</v>
      </c>
      <c r="C182" s="7" t="s">
        <v>93</v>
      </c>
      <c r="D182" s="8" t="s">
        <v>278</v>
      </c>
      <c r="E182" s="42" t="s">
        <v>95</v>
      </c>
      <c r="F182" s="39" t="s">
        <v>53</v>
      </c>
      <c r="G182" s="11" t="s">
        <v>65</v>
      </c>
      <c r="H182" s="136">
        <v>1.2897779999999999</v>
      </c>
      <c r="I182" s="140">
        <v>3</v>
      </c>
      <c r="J182" s="136">
        <f>I182*$J$2</f>
        <v>0.18</v>
      </c>
      <c r="K182" s="136">
        <v>30</v>
      </c>
      <c r="L182" s="139"/>
      <c r="M182" s="139"/>
      <c r="N182" s="136"/>
      <c r="O182" s="11"/>
      <c r="P182" s="136"/>
      <c r="Q182" s="140"/>
      <c r="R182" s="136"/>
      <c r="S182" s="136"/>
      <c r="T182" s="136"/>
      <c r="U182" s="136">
        <f>H182+J182+K182+N182+P182+R182+S182+T182</f>
        <v>31.469777999999998</v>
      </c>
    </row>
    <row r="183" spans="1:21" ht="15" outlineLevel="2">
      <c r="A183" s="6" t="s">
        <v>277</v>
      </c>
      <c r="B183" s="7" t="s">
        <v>92</v>
      </c>
      <c r="C183" s="7" t="s">
        <v>93</v>
      </c>
      <c r="D183" s="8" t="s">
        <v>278</v>
      </c>
      <c r="E183" s="42" t="s">
        <v>95</v>
      </c>
      <c r="F183" s="39" t="s">
        <v>53</v>
      </c>
      <c r="G183" s="24" t="s">
        <v>66</v>
      </c>
      <c r="H183" s="136">
        <v>4.4030714</v>
      </c>
      <c r="I183" s="149">
        <v>5</v>
      </c>
      <c r="J183" s="136">
        <f>I183*$J$2</f>
        <v>0.3</v>
      </c>
      <c r="K183" s="136">
        <v>30</v>
      </c>
      <c r="L183" s="139"/>
      <c r="M183" s="139"/>
      <c r="N183" s="136"/>
      <c r="O183" s="11"/>
      <c r="P183" s="136"/>
      <c r="Q183" s="140"/>
      <c r="R183" s="136"/>
      <c r="S183" s="136"/>
      <c r="T183" s="136"/>
      <c r="U183" s="136">
        <f>H183+J183+K183+N183+P183+R183+S183+T183</f>
        <v>34.7030714</v>
      </c>
    </row>
    <row r="184" spans="1:21" s="5" customFormat="1" ht="15.75" outlineLevel="1">
      <c r="A184" s="1" t="s">
        <v>906</v>
      </c>
      <c r="B184" s="172"/>
      <c r="C184" s="2"/>
      <c r="D184" s="19"/>
      <c r="E184" s="44"/>
      <c r="F184" s="51"/>
      <c r="G184" s="2"/>
      <c r="H184" s="137">
        <f aca="true" t="shared" si="45" ref="H184:U184">SUBTOTAL(9,H179:H183)</f>
        <v>73.61591439999998</v>
      </c>
      <c r="I184" s="144">
        <f t="shared" si="45"/>
        <v>109</v>
      </c>
      <c r="J184" s="137">
        <f t="shared" si="45"/>
        <v>9.5</v>
      </c>
      <c r="K184" s="137">
        <f t="shared" si="45"/>
        <v>180</v>
      </c>
      <c r="L184" s="141">
        <f t="shared" si="45"/>
        <v>0</v>
      </c>
      <c r="M184" s="141">
        <f t="shared" si="45"/>
        <v>0</v>
      </c>
      <c r="N184" s="137">
        <f t="shared" si="45"/>
        <v>0</v>
      </c>
      <c r="O184" s="45">
        <f t="shared" si="45"/>
        <v>0</v>
      </c>
      <c r="P184" s="137">
        <f t="shared" si="45"/>
        <v>0</v>
      </c>
      <c r="Q184" s="167">
        <f t="shared" si="45"/>
        <v>0</v>
      </c>
      <c r="R184" s="137">
        <f t="shared" si="45"/>
        <v>0</v>
      </c>
      <c r="S184" s="137">
        <f t="shared" si="45"/>
        <v>0</v>
      </c>
      <c r="T184" s="137">
        <f t="shared" si="45"/>
        <v>0</v>
      </c>
      <c r="U184" s="137">
        <f t="shared" si="45"/>
        <v>263.11591439999995</v>
      </c>
    </row>
    <row r="185" spans="1:21" ht="15" outlineLevel="2">
      <c r="A185" s="6" t="s">
        <v>279</v>
      </c>
      <c r="B185" s="7" t="s">
        <v>92</v>
      </c>
      <c r="C185" s="7" t="s">
        <v>93</v>
      </c>
      <c r="D185" s="8">
        <v>403360</v>
      </c>
      <c r="E185" s="42" t="s">
        <v>95</v>
      </c>
      <c r="F185" s="39" t="s">
        <v>53</v>
      </c>
      <c r="G185" s="24" t="s">
        <v>64</v>
      </c>
      <c r="H185" s="136">
        <v>1.195404</v>
      </c>
      <c r="I185" s="149">
        <v>1</v>
      </c>
      <c r="J185" s="136">
        <f>I185*$J$2</f>
        <v>0.06</v>
      </c>
      <c r="K185" s="136">
        <v>15</v>
      </c>
      <c r="L185" s="139"/>
      <c r="M185" s="139"/>
      <c r="N185" s="136"/>
      <c r="O185" s="11"/>
      <c r="P185" s="136"/>
      <c r="Q185" s="140"/>
      <c r="R185" s="136"/>
      <c r="S185" s="136"/>
      <c r="T185" s="136"/>
      <c r="U185" s="136">
        <f>H185+J185+K185+N185+P185+R185+S185+T185</f>
        <v>16.255404</v>
      </c>
    </row>
    <row r="186" spans="1:21" s="5" customFormat="1" ht="15.75" outlineLevel="1">
      <c r="A186" s="1" t="s">
        <v>907</v>
      </c>
      <c r="B186" s="172"/>
      <c r="C186" s="2"/>
      <c r="D186" s="19"/>
      <c r="E186" s="44"/>
      <c r="F186" s="51"/>
      <c r="G186" s="2"/>
      <c r="H186" s="137">
        <f aca="true" t="shared" si="46" ref="H186:U186">SUBTOTAL(9,H185:H185)</f>
        <v>1.195404</v>
      </c>
      <c r="I186" s="144">
        <f t="shared" si="46"/>
        <v>1</v>
      </c>
      <c r="J186" s="137">
        <f t="shared" si="46"/>
        <v>0.06</v>
      </c>
      <c r="K186" s="137">
        <f t="shared" si="46"/>
        <v>15</v>
      </c>
      <c r="L186" s="141">
        <f t="shared" si="46"/>
        <v>0</v>
      </c>
      <c r="M186" s="141">
        <f t="shared" si="46"/>
        <v>0</v>
      </c>
      <c r="N186" s="137">
        <f t="shared" si="46"/>
        <v>0</v>
      </c>
      <c r="O186" s="45">
        <f t="shared" si="46"/>
        <v>0</v>
      </c>
      <c r="P186" s="137">
        <f t="shared" si="46"/>
        <v>0</v>
      </c>
      <c r="Q186" s="167">
        <f t="shared" si="46"/>
        <v>0</v>
      </c>
      <c r="R186" s="137">
        <f t="shared" si="46"/>
        <v>0</v>
      </c>
      <c r="S186" s="137">
        <f t="shared" si="46"/>
        <v>0</v>
      </c>
      <c r="T186" s="137">
        <f t="shared" si="46"/>
        <v>0</v>
      </c>
      <c r="U186" s="137">
        <f t="shared" si="46"/>
        <v>16.255404</v>
      </c>
    </row>
    <row r="187" spans="1:21" ht="15" outlineLevel="2">
      <c r="A187" s="6" t="s">
        <v>280</v>
      </c>
      <c r="B187" s="7" t="s">
        <v>92</v>
      </c>
      <c r="C187" s="7" t="s">
        <v>93</v>
      </c>
      <c r="D187" s="8" t="s">
        <v>281</v>
      </c>
      <c r="E187" s="42" t="s">
        <v>95</v>
      </c>
      <c r="F187" s="39" t="s">
        <v>53</v>
      </c>
      <c r="G187" s="24" t="s">
        <v>62</v>
      </c>
      <c r="H187" s="136">
        <v>138.25790999999998</v>
      </c>
      <c r="I187" s="149">
        <v>403</v>
      </c>
      <c r="J187" s="136">
        <f>I187*$J$1</f>
        <v>40.300000000000004</v>
      </c>
      <c r="K187" s="136">
        <v>60</v>
      </c>
      <c r="L187" s="139"/>
      <c r="M187" s="139"/>
      <c r="N187" s="136"/>
      <c r="O187" s="11"/>
      <c r="P187" s="136"/>
      <c r="Q187" s="140"/>
      <c r="R187" s="136"/>
      <c r="S187" s="136"/>
      <c r="T187" s="136"/>
      <c r="U187" s="136">
        <f aca="true" t="shared" si="47" ref="U187:U192">H187+J187+K187+N187+P187+R187+S187+T187</f>
        <v>238.55791</v>
      </c>
    </row>
    <row r="188" spans="1:21" ht="15" outlineLevel="2">
      <c r="A188" s="6" t="s">
        <v>280</v>
      </c>
      <c r="B188" s="7" t="s">
        <v>92</v>
      </c>
      <c r="C188" s="7" t="s">
        <v>93</v>
      </c>
      <c r="D188" s="8" t="s">
        <v>281</v>
      </c>
      <c r="E188" s="42" t="s">
        <v>95</v>
      </c>
      <c r="F188" s="39" t="s">
        <v>53</v>
      </c>
      <c r="G188" s="24" t="s">
        <v>63</v>
      </c>
      <c r="H188" s="136">
        <v>9.951214</v>
      </c>
      <c r="I188" s="149">
        <v>5</v>
      </c>
      <c r="J188" s="136">
        <f>I188*$J$2</f>
        <v>0.3</v>
      </c>
      <c r="K188" s="136">
        <v>15</v>
      </c>
      <c r="L188" s="139"/>
      <c r="M188" s="139"/>
      <c r="N188" s="136"/>
      <c r="O188" s="11"/>
      <c r="P188" s="136"/>
      <c r="Q188" s="140"/>
      <c r="R188" s="136"/>
      <c r="S188" s="136"/>
      <c r="T188" s="136"/>
      <c r="U188" s="136">
        <f t="shared" si="47"/>
        <v>25.251214</v>
      </c>
    </row>
    <row r="189" spans="1:21" ht="15" outlineLevel="2">
      <c r="A189" s="6" t="s">
        <v>280</v>
      </c>
      <c r="B189" s="7" t="s">
        <v>92</v>
      </c>
      <c r="C189" s="7" t="s">
        <v>93</v>
      </c>
      <c r="D189" s="8" t="s">
        <v>281</v>
      </c>
      <c r="E189" s="42" t="s">
        <v>95</v>
      </c>
      <c r="F189" s="39" t="s">
        <v>53</v>
      </c>
      <c r="G189" s="24" t="s">
        <v>64</v>
      </c>
      <c r="H189" s="136">
        <v>85.6611826</v>
      </c>
      <c r="I189" s="149">
        <v>73</v>
      </c>
      <c r="J189" s="136">
        <f>I189*$J$2</f>
        <v>4.38</v>
      </c>
      <c r="K189" s="136">
        <v>60</v>
      </c>
      <c r="L189" s="139"/>
      <c r="M189" s="139"/>
      <c r="N189" s="136"/>
      <c r="O189" s="11"/>
      <c r="P189" s="136"/>
      <c r="Q189" s="140"/>
      <c r="R189" s="136"/>
      <c r="S189" s="136"/>
      <c r="T189" s="136"/>
      <c r="U189" s="136">
        <f t="shared" si="47"/>
        <v>150.0411826</v>
      </c>
    </row>
    <row r="190" spans="1:21" ht="15" outlineLevel="2">
      <c r="A190" s="6" t="s">
        <v>280</v>
      </c>
      <c r="B190" s="7" t="s">
        <v>92</v>
      </c>
      <c r="C190" s="7" t="s">
        <v>93</v>
      </c>
      <c r="D190" s="8" t="s">
        <v>281</v>
      </c>
      <c r="E190" s="42" t="s">
        <v>95</v>
      </c>
      <c r="F190" s="39" t="s">
        <v>53</v>
      </c>
      <c r="G190" s="24" t="s">
        <v>65</v>
      </c>
      <c r="H190" s="136">
        <v>67.2509124</v>
      </c>
      <c r="I190" s="149">
        <v>97</v>
      </c>
      <c r="J190" s="136">
        <f>I190*$J$2</f>
        <v>5.819999999999999</v>
      </c>
      <c r="K190" s="136">
        <v>15</v>
      </c>
      <c r="L190" s="139"/>
      <c r="M190" s="139"/>
      <c r="N190" s="136"/>
      <c r="O190" s="11"/>
      <c r="P190" s="136"/>
      <c r="Q190" s="140"/>
      <c r="R190" s="136"/>
      <c r="S190" s="136"/>
      <c r="T190" s="136"/>
      <c r="U190" s="136">
        <f t="shared" si="47"/>
        <v>88.0709124</v>
      </c>
    </row>
    <row r="191" spans="1:21" ht="15" outlineLevel="2">
      <c r="A191" s="6" t="s">
        <v>280</v>
      </c>
      <c r="B191" s="7" t="s">
        <v>92</v>
      </c>
      <c r="C191" s="7" t="s">
        <v>93</v>
      </c>
      <c r="D191" s="8" t="s">
        <v>281</v>
      </c>
      <c r="E191" s="42" t="s">
        <v>95</v>
      </c>
      <c r="F191" s="39" t="s">
        <v>53</v>
      </c>
      <c r="G191" s="24" t="s">
        <v>66</v>
      </c>
      <c r="H191" s="136">
        <v>83.28400640000002</v>
      </c>
      <c r="I191" s="149">
        <v>81</v>
      </c>
      <c r="J191" s="136">
        <f>I191*$J$2</f>
        <v>4.859999999999999</v>
      </c>
      <c r="K191" s="136">
        <v>30</v>
      </c>
      <c r="L191" s="139"/>
      <c r="M191" s="139"/>
      <c r="N191" s="136"/>
      <c r="O191" s="11"/>
      <c r="P191" s="136"/>
      <c r="Q191" s="140"/>
      <c r="R191" s="136"/>
      <c r="S191" s="136"/>
      <c r="T191" s="136"/>
      <c r="U191" s="136">
        <f t="shared" si="47"/>
        <v>118.14400640000002</v>
      </c>
    </row>
    <row r="192" spans="1:21" ht="15" outlineLevel="2">
      <c r="A192" s="6" t="str">
        <f>A191</f>
        <v>M314</v>
      </c>
      <c r="B192" s="11" t="str">
        <f>B191</f>
        <v>DOH-CHS</v>
      </c>
      <c r="C192" s="11" t="str">
        <f>C191</f>
        <v>COMM. HEALTH SERVICES</v>
      </c>
      <c r="D192" s="13" t="str">
        <f>D191</f>
        <v>4CA32-1</v>
      </c>
      <c r="E192" s="24" t="str">
        <f>E191</f>
        <v>40-30</v>
      </c>
      <c r="F192" s="39" t="s">
        <v>585</v>
      </c>
      <c r="G192" s="24" t="s">
        <v>585</v>
      </c>
      <c r="H192" s="136"/>
      <c r="I192" s="149"/>
      <c r="J192" s="136"/>
      <c r="K192" s="136"/>
      <c r="L192" s="139">
        <v>2.2</v>
      </c>
      <c r="M192" s="139">
        <v>0.03</v>
      </c>
      <c r="N192" s="136">
        <f>L192*M192*$N$2</f>
        <v>206.91</v>
      </c>
      <c r="O192" s="11"/>
      <c r="P192" s="136"/>
      <c r="Q192" s="140"/>
      <c r="R192" s="136"/>
      <c r="S192" s="136"/>
      <c r="T192" s="136"/>
      <c r="U192" s="136">
        <f t="shared" si="47"/>
        <v>206.91</v>
      </c>
    </row>
    <row r="193" spans="1:21" s="5" customFormat="1" ht="15.75" outlineLevel="1">
      <c r="A193" s="1" t="s">
        <v>908</v>
      </c>
      <c r="B193" s="172"/>
      <c r="C193" s="2"/>
      <c r="D193" s="19"/>
      <c r="E193" s="44"/>
      <c r="F193" s="51"/>
      <c r="G193" s="2"/>
      <c r="H193" s="137">
        <f aca="true" t="shared" si="48" ref="H193:U193">SUBTOTAL(9,H187:H192)</f>
        <v>384.4052254</v>
      </c>
      <c r="I193" s="144">
        <f t="shared" si="48"/>
        <v>659</v>
      </c>
      <c r="J193" s="137">
        <f t="shared" si="48"/>
        <v>55.660000000000004</v>
      </c>
      <c r="K193" s="137">
        <f t="shared" si="48"/>
        <v>180</v>
      </c>
      <c r="L193" s="141">
        <f t="shared" si="48"/>
        <v>2.2</v>
      </c>
      <c r="M193" s="141">
        <f t="shared" si="48"/>
        <v>0.03</v>
      </c>
      <c r="N193" s="137">
        <f t="shared" si="48"/>
        <v>206.91</v>
      </c>
      <c r="O193" s="45">
        <f t="shared" si="48"/>
        <v>0</v>
      </c>
      <c r="P193" s="137">
        <f t="shared" si="48"/>
        <v>0</v>
      </c>
      <c r="Q193" s="167">
        <f t="shared" si="48"/>
        <v>0</v>
      </c>
      <c r="R193" s="137">
        <f t="shared" si="48"/>
        <v>0</v>
      </c>
      <c r="S193" s="137">
        <f t="shared" si="48"/>
        <v>0</v>
      </c>
      <c r="T193" s="137">
        <f t="shared" si="48"/>
        <v>0</v>
      </c>
      <c r="U193" s="137">
        <f t="shared" si="48"/>
        <v>826.9752254</v>
      </c>
    </row>
    <row r="194" spans="1:21" ht="15" outlineLevel="2">
      <c r="A194" s="9" t="s">
        <v>17</v>
      </c>
      <c r="B194" s="25" t="s">
        <v>92</v>
      </c>
      <c r="C194" s="16" t="s">
        <v>93</v>
      </c>
      <c r="D194" s="26">
        <v>407750</v>
      </c>
      <c r="E194" s="27" t="s">
        <v>125</v>
      </c>
      <c r="F194" s="20" t="s">
        <v>585</v>
      </c>
      <c r="G194" s="27" t="s">
        <v>585</v>
      </c>
      <c r="H194" s="136"/>
      <c r="I194" s="149"/>
      <c r="J194" s="136"/>
      <c r="K194" s="136"/>
      <c r="L194" s="139">
        <v>6</v>
      </c>
      <c r="M194" s="139">
        <v>0.47</v>
      </c>
      <c r="N194" s="136">
        <f>L194*M194*$N$2</f>
        <v>8840.699999999999</v>
      </c>
      <c r="O194" s="11"/>
      <c r="P194" s="136"/>
      <c r="Q194" s="140"/>
      <c r="R194" s="136"/>
      <c r="S194" s="136"/>
      <c r="T194" s="136"/>
      <c r="U194" s="136">
        <f>H194+J194+K194+N194+P194+R194+S194+T194</f>
        <v>8840.699999999999</v>
      </c>
    </row>
    <row r="195" spans="1:21" s="5" customFormat="1" ht="15.75" outlineLevel="1">
      <c r="A195" s="1" t="s">
        <v>909</v>
      </c>
      <c r="B195" s="172"/>
      <c r="C195" s="2"/>
      <c r="D195" s="19"/>
      <c r="E195" s="44"/>
      <c r="F195" s="51"/>
      <c r="G195" s="2"/>
      <c r="H195" s="137">
        <f aca="true" t="shared" si="49" ref="H195:U195">SUBTOTAL(9,H194:H194)</f>
        <v>0</v>
      </c>
      <c r="I195" s="144">
        <f t="shared" si="49"/>
        <v>0</v>
      </c>
      <c r="J195" s="137">
        <f t="shared" si="49"/>
        <v>0</v>
      </c>
      <c r="K195" s="137">
        <f t="shared" si="49"/>
        <v>0</v>
      </c>
      <c r="L195" s="141">
        <f t="shared" si="49"/>
        <v>6</v>
      </c>
      <c r="M195" s="141">
        <f t="shared" si="49"/>
        <v>0.47</v>
      </c>
      <c r="N195" s="137">
        <f t="shared" si="49"/>
        <v>8840.699999999999</v>
      </c>
      <c r="O195" s="45">
        <f t="shared" si="49"/>
        <v>0</v>
      </c>
      <c r="P195" s="137">
        <f t="shared" si="49"/>
        <v>0</v>
      </c>
      <c r="Q195" s="167">
        <f t="shared" si="49"/>
        <v>0</v>
      </c>
      <c r="R195" s="137">
        <f t="shared" si="49"/>
        <v>0</v>
      </c>
      <c r="S195" s="137">
        <f t="shared" si="49"/>
        <v>0</v>
      </c>
      <c r="T195" s="137">
        <f t="shared" si="49"/>
        <v>0</v>
      </c>
      <c r="U195" s="137">
        <f t="shared" si="49"/>
        <v>8840.699999999999</v>
      </c>
    </row>
    <row r="196" spans="1:21" ht="15" outlineLevel="2">
      <c r="A196" s="6" t="s">
        <v>282</v>
      </c>
      <c r="B196" s="7" t="s">
        <v>92</v>
      </c>
      <c r="C196" s="7" t="s">
        <v>93</v>
      </c>
      <c r="D196" s="8" t="s">
        <v>281</v>
      </c>
      <c r="E196" s="42" t="s">
        <v>95</v>
      </c>
      <c r="F196" s="39" t="s">
        <v>53</v>
      </c>
      <c r="G196" s="24" t="s">
        <v>62</v>
      </c>
      <c r="H196" s="136">
        <v>0.7854014</v>
      </c>
      <c r="I196" s="149">
        <v>2</v>
      </c>
      <c r="J196" s="136">
        <f>I196*$J$1</f>
        <v>0.2</v>
      </c>
      <c r="K196" s="136">
        <v>0</v>
      </c>
      <c r="L196" s="139"/>
      <c r="M196" s="139"/>
      <c r="N196" s="136"/>
      <c r="O196" s="11"/>
      <c r="P196" s="136"/>
      <c r="Q196" s="140"/>
      <c r="R196" s="136"/>
      <c r="S196" s="136"/>
      <c r="T196" s="136"/>
      <c r="U196" s="136">
        <f aca="true" t="shared" si="50" ref="U196:U201">H196+J196+K196+N196+P196+R196+S196+T196</f>
        <v>0.9854014</v>
      </c>
    </row>
    <row r="197" spans="1:21" ht="15" outlineLevel="2">
      <c r="A197" s="6" t="s">
        <v>282</v>
      </c>
      <c r="B197" s="7" t="s">
        <v>92</v>
      </c>
      <c r="C197" s="7" t="s">
        <v>93</v>
      </c>
      <c r="D197" s="8" t="s">
        <v>281</v>
      </c>
      <c r="E197" s="42" t="s">
        <v>95</v>
      </c>
      <c r="F197" s="39" t="s">
        <v>53</v>
      </c>
      <c r="G197" s="24" t="s">
        <v>63</v>
      </c>
      <c r="H197" s="136">
        <v>127.258096</v>
      </c>
      <c r="I197" s="149">
        <v>38</v>
      </c>
      <c r="J197" s="136">
        <f>I197*$J$2</f>
        <v>2.28</v>
      </c>
      <c r="K197" s="136">
        <v>15</v>
      </c>
      <c r="L197" s="139"/>
      <c r="M197" s="139"/>
      <c r="N197" s="136"/>
      <c r="O197" s="11"/>
      <c r="P197" s="136"/>
      <c r="Q197" s="140"/>
      <c r="R197" s="136"/>
      <c r="S197" s="136"/>
      <c r="T197" s="136"/>
      <c r="U197" s="136">
        <f t="shared" si="50"/>
        <v>144.538096</v>
      </c>
    </row>
    <row r="198" spans="1:21" ht="15" outlineLevel="2">
      <c r="A198" s="6" t="s">
        <v>282</v>
      </c>
      <c r="B198" s="7" t="s">
        <v>92</v>
      </c>
      <c r="C198" s="7" t="s">
        <v>93</v>
      </c>
      <c r="D198" s="8" t="s">
        <v>281</v>
      </c>
      <c r="E198" s="42" t="s">
        <v>95</v>
      </c>
      <c r="F198" s="39" t="s">
        <v>53</v>
      </c>
      <c r="G198" s="24" t="s">
        <v>64</v>
      </c>
      <c r="H198" s="136">
        <v>179.0253808</v>
      </c>
      <c r="I198" s="149">
        <v>137</v>
      </c>
      <c r="J198" s="136">
        <f>I198*$J$2</f>
        <v>8.219999999999999</v>
      </c>
      <c r="K198" s="136">
        <v>60</v>
      </c>
      <c r="L198" s="139"/>
      <c r="M198" s="139"/>
      <c r="N198" s="136"/>
      <c r="O198" s="11"/>
      <c r="P198" s="136"/>
      <c r="Q198" s="140"/>
      <c r="R198" s="136"/>
      <c r="S198" s="136"/>
      <c r="T198" s="136"/>
      <c r="U198" s="136">
        <f t="shared" si="50"/>
        <v>247.2453808</v>
      </c>
    </row>
    <row r="199" spans="1:21" ht="15" outlineLevel="2">
      <c r="A199" s="6" t="s">
        <v>282</v>
      </c>
      <c r="B199" s="7" t="s">
        <v>92</v>
      </c>
      <c r="C199" s="7" t="s">
        <v>93</v>
      </c>
      <c r="D199" s="8" t="s">
        <v>281</v>
      </c>
      <c r="E199" s="42" t="s">
        <v>95</v>
      </c>
      <c r="F199" s="39" t="s">
        <v>53</v>
      </c>
      <c r="G199" s="24" t="s">
        <v>65</v>
      </c>
      <c r="H199" s="136">
        <v>248.958612</v>
      </c>
      <c r="I199" s="149">
        <v>345</v>
      </c>
      <c r="J199" s="136">
        <f>I199*$J$2</f>
        <v>20.7</v>
      </c>
      <c r="K199" s="136">
        <v>60</v>
      </c>
      <c r="L199" s="139"/>
      <c r="M199" s="139"/>
      <c r="N199" s="136"/>
      <c r="O199" s="11"/>
      <c r="P199" s="136"/>
      <c r="Q199" s="140"/>
      <c r="R199" s="136"/>
      <c r="S199" s="136"/>
      <c r="T199" s="136"/>
      <c r="U199" s="136">
        <f t="shared" si="50"/>
        <v>329.658612</v>
      </c>
    </row>
    <row r="200" spans="1:21" ht="15" outlineLevel="2">
      <c r="A200" s="6" t="s">
        <v>282</v>
      </c>
      <c r="B200" s="7" t="s">
        <v>92</v>
      </c>
      <c r="C200" s="7" t="s">
        <v>93</v>
      </c>
      <c r="D200" s="8" t="s">
        <v>281</v>
      </c>
      <c r="E200" s="42" t="s">
        <v>95</v>
      </c>
      <c r="F200" s="39" t="s">
        <v>53</v>
      </c>
      <c r="G200" s="24" t="s">
        <v>66</v>
      </c>
      <c r="H200" s="136">
        <v>48.3960358</v>
      </c>
      <c r="I200" s="149">
        <v>47</v>
      </c>
      <c r="J200" s="136">
        <f>I200*$J$2</f>
        <v>2.82</v>
      </c>
      <c r="K200" s="136">
        <v>45</v>
      </c>
      <c r="L200" s="139"/>
      <c r="M200" s="139"/>
      <c r="N200" s="136"/>
      <c r="O200" s="11"/>
      <c r="P200" s="136"/>
      <c r="Q200" s="140"/>
      <c r="R200" s="136"/>
      <c r="S200" s="136"/>
      <c r="T200" s="136"/>
      <c r="U200" s="136">
        <f t="shared" si="50"/>
        <v>96.2160358</v>
      </c>
    </row>
    <row r="201" spans="1:21" ht="15" outlineLevel="2">
      <c r="A201" s="6" t="str">
        <f>A200</f>
        <v>M316</v>
      </c>
      <c r="B201" s="11" t="str">
        <f>B200</f>
        <v>DOH-CHS</v>
      </c>
      <c r="C201" s="11" t="str">
        <f>C200</f>
        <v>COMM. HEALTH SERVICES</v>
      </c>
      <c r="D201" s="13" t="str">
        <f>D200</f>
        <v>4CA32-1</v>
      </c>
      <c r="E201" s="24" t="str">
        <f>E200</f>
        <v>40-30</v>
      </c>
      <c r="F201" s="39" t="s">
        <v>585</v>
      </c>
      <c r="G201" s="24" t="s">
        <v>585</v>
      </c>
      <c r="H201" s="136"/>
      <c r="I201" s="149"/>
      <c r="J201" s="136"/>
      <c r="K201" s="136"/>
      <c r="L201" s="139">
        <v>2.2</v>
      </c>
      <c r="M201" s="139">
        <v>0.06</v>
      </c>
      <c r="N201" s="136">
        <f>L201*M201*$N$2</f>
        <v>413.82</v>
      </c>
      <c r="O201" s="11"/>
      <c r="P201" s="136"/>
      <c r="Q201" s="140"/>
      <c r="R201" s="136"/>
      <c r="S201" s="136"/>
      <c r="T201" s="136"/>
      <c r="U201" s="136">
        <f t="shared" si="50"/>
        <v>413.82</v>
      </c>
    </row>
    <row r="202" spans="1:21" s="5" customFormat="1" ht="15.75" outlineLevel="1">
      <c r="A202" s="1" t="s">
        <v>910</v>
      </c>
      <c r="B202" s="172"/>
      <c r="C202" s="2"/>
      <c r="D202" s="19"/>
      <c r="E202" s="44"/>
      <c r="F202" s="51"/>
      <c r="G202" s="2"/>
      <c r="H202" s="137">
        <f aca="true" t="shared" si="51" ref="H202:U202">SUBTOTAL(9,H196:H201)</f>
        <v>604.423526</v>
      </c>
      <c r="I202" s="144">
        <f t="shared" si="51"/>
        <v>569</v>
      </c>
      <c r="J202" s="137">
        <f t="shared" si="51"/>
        <v>34.22</v>
      </c>
      <c r="K202" s="137">
        <f t="shared" si="51"/>
        <v>180</v>
      </c>
      <c r="L202" s="141">
        <f t="shared" si="51"/>
        <v>2.2</v>
      </c>
      <c r="M202" s="141">
        <f t="shared" si="51"/>
        <v>0.06</v>
      </c>
      <c r="N202" s="137">
        <f t="shared" si="51"/>
        <v>413.82</v>
      </c>
      <c r="O202" s="45">
        <f t="shared" si="51"/>
        <v>0</v>
      </c>
      <c r="P202" s="137">
        <f t="shared" si="51"/>
        <v>0</v>
      </c>
      <c r="Q202" s="167">
        <f t="shared" si="51"/>
        <v>0</v>
      </c>
      <c r="R202" s="137">
        <f t="shared" si="51"/>
        <v>0</v>
      </c>
      <c r="S202" s="137">
        <f t="shared" si="51"/>
        <v>0</v>
      </c>
      <c r="T202" s="137">
        <f t="shared" si="51"/>
        <v>0</v>
      </c>
      <c r="U202" s="137">
        <f t="shared" si="51"/>
        <v>1232.463526</v>
      </c>
    </row>
    <row r="203" spans="1:21" ht="15" outlineLevel="2">
      <c r="A203" s="6" t="s">
        <v>288</v>
      </c>
      <c r="B203" s="7" t="s">
        <v>92</v>
      </c>
      <c r="C203" s="7" t="s">
        <v>93</v>
      </c>
      <c r="D203" s="8" t="s">
        <v>289</v>
      </c>
      <c r="E203" s="42" t="s">
        <v>95</v>
      </c>
      <c r="F203" s="39" t="s">
        <v>53</v>
      </c>
      <c r="G203" s="24" t="s">
        <v>62</v>
      </c>
      <c r="H203" s="136">
        <v>222.979547</v>
      </c>
      <c r="I203" s="149">
        <v>563</v>
      </c>
      <c r="J203" s="136">
        <f>I203*$J$1</f>
        <v>56.300000000000004</v>
      </c>
      <c r="K203" s="136">
        <v>15</v>
      </c>
      <c r="L203" s="139"/>
      <c r="M203" s="139"/>
      <c r="N203" s="136"/>
      <c r="O203" s="11"/>
      <c r="P203" s="136"/>
      <c r="Q203" s="140"/>
      <c r="R203" s="136"/>
      <c r="S203" s="136"/>
      <c r="T203" s="136"/>
      <c r="U203" s="136">
        <f aca="true" t="shared" si="52" ref="U203:U211">H203+J203+K203+N203+P203+R203+S203+T203</f>
        <v>294.279547</v>
      </c>
    </row>
    <row r="204" spans="1:21" ht="15" outlineLevel="2">
      <c r="A204" s="6" t="s">
        <v>288</v>
      </c>
      <c r="B204" s="7" t="s">
        <v>92</v>
      </c>
      <c r="C204" s="7" t="s">
        <v>93</v>
      </c>
      <c r="D204" s="8" t="s">
        <v>289</v>
      </c>
      <c r="E204" s="42" t="s">
        <v>95</v>
      </c>
      <c r="F204" s="39" t="s">
        <v>53</v>
      </c>
      <c r="G204" s="24" t="s">
        <v>63</v>
      </c>
      <c r="H204" s="136">
        <v>472.28943999999996</v>
      </c>
      <c r="I204" s="149">
        <v>131</v>
      </c>
      <c r="J204" s="136">
        <f>I204*$J$2</f>
        <v>7.859999999999999</v>
      </c>
      <c r="K204" s="136">
        <v>30</v>
      </c>
      <c r="L204" s="139"/>
      <c r="M204" s="139"/>
      <c r="N204" s="136"/>
      <c r="O204" s="11"/>
      <c r="P204" s="136"/>
      <c r="Q204" s="140"/>
      <c r="R204" s="136"/>
      <c r="S204" s="136"/>
      <c r="T204" s="136"/>
      <c r="U204" s="136">
        <f t="shared" si="52"/>
        <v>510.14943999999997</v>
      </c>
    </row>
    <row r="205" spans="1:21" ht="15" outlineLevel="2">
      <c r="A205" s="6" t="s">
        <v>288</v>
      </c>
      <c r="B205" s="7" t="s">
        <v>92</v>
      </c>
      <c r="C205" s="7" t="s">
        <v>93</v>
      </c>
      <c r="D205" s="8" t="s">
        <v>289</v>
      </c>
      <c r="E205" s="42" t="s">
        <v>95</v>
      </c>
      <c r="F205" s="39" t="s">
        <v>53</v>
      </c>
      <c r="G205" s="24" t="s">
        <v>64</v>
      </c>
      <c r="H205" s="136">
        <v>411.9079062</v>
      </c>
      <c r="I205" s="149">
        <v>343</v>
      </c>
      <c r="J205" s="136">
        <f>I205*$J$2</f>
        <v>20.58</v>
      </c>
      <c r="K205" s="136">
        <v>15</v>
      </c>
      <c r="L205" s="139"/>
      <c r="M205" s="139"/>
      <c r="N205" s="136"/>
      <c r="O205" s="11"/>
      <c r="P205" s="136"/>
      <c r="Q205" s="140"/>
      <c r="R205" s="136"/>
      <c r="S205" s="136"/>
      <c r="T205" s="136"/>
      <c r="U205" s="136">
        <f t="shared" si="52"/>
        <v>447.4879062</v>
      </c>
    </row>
    <row r="206" spans="1:21" ht="15" outlineLevel="2">
      <c r="A206" s="6" t="s">
        <v>288</v>
      </c>
      <c r="B206" s="7" t="s">
        <v>92</v>
      </c>
      <c r="C206" s="7" t="s">
        <v>93</v>
      </c>
      <c r="D206" s="8" t="s">
        <v>289</v>
      </c>
      <c r="E206" s="42" t="s">
        <v>95</v>
      </c>
      <c r="F206" s="39" t="s">
        <v>53</v>
      </c>
      <c r="G206" s="24" t="s">
        <v>65</v>
      </c>
      <c r="H206" s="136">
        <v>252.04044739999995</v>
      </c>
      <c r="I206" s="149">
        <v>383</v>
      </c>
      <c r="J206" s="136">
        <f>I206*$J$2</f>
        <v>22.98</v>
      </c>
      <c r="K206" s="136">
        <v>90</v>
      </c>
      <c r="L206" s="139"/>
      <c r="M206" s="139"/>
      <c r="N206" s="136"/>
      <c r="O206" s="11"/>
      <c r="P206" s="136"/>
      <c r="Q206" s="140"/>
      <c r="R206" s="136"/>
      <c r="S206" s="136"/>
      <c r="T206" s="136"/>
      <c r="U206" s="136">
        <f t="shared" si="52"/>
        <v>365.02044739999997</v>
      </c>
    </row>
    <row r="207" spans="1:21" ht="15" outlineLevel="2">
      <c r="A207" s="6" t="s">
        <v>288</v>
      </c>
      <c r="B207" s="7" t="s">
        <v>92</v>
      </c>
      <c r="C207" s="7" t="s">
        <v>93</v>
      </c>
      <c r="D207" s="8" t="s">
        <v>289</v>
      </c>
      <c r="E207" s="42" t="s">
        <v>95</v>
      </c>
      <c r="F207" s="39" t="s">
        <v>53</v>
      </c>
      <c r="G207" s="24" t="s">
        <v>66</v>
      </c>
      <c r="H207" s="136">
        <v>67.4941876</v>
      </c>
      <c r="I207" s="149">
        <v>76</v>
      </c>
      <c r="J207" s="136">
        <f>I207*$J$2</f>
        <v>4.56</v>
      </c>
      <c r="K207" s="136">
        <v>30</v>
      </c>
      <c r="L207" s="139"/>
      <c r="M207" s="139"/>
      <c r="N207" s="136"/>
      <c r="O207" s="11"/>
      <c r="P207" s="136"/>
      <c r="Q207" s="140"/>
      <c r="R207" s="136"/>
      <c r="S207" s="136"/>
      <c r="T207" s="136"/>
      <c r="U207" s="136">
        <f t="shared" si="52"/>
        <v>102.0541876</v>
      </c>
    </row>
    <row r="208" spans="1:21" ht="15" outlineLevel="2">
      <c r="A208" s="6" t="s">
        <v>288</v>
      </c>
      <c r="B208" s="7" t="s">
        <v>92</v>
      </c>
      <c r="C208" s="7" t="s">
        <v>93</v>
      </c>
      <c r="D208" s="8" t="s">
        <v>289</v>
      </c>
      <c r="E208" s="42" t="s">
        <v>95</v>
      </c>
      <c r="F208" s="39" t="s">
        <v>53</v>
      </c>
      <c r="G208" s="24" t="s">
        <v>104</v>
      </c>
      <c r="H208" s="136">
        <v>39.049864</v>
      </c>
      <c r="I208" s="149">
        <v>14</v>
      </c>
      <c r="J208" s="136">
        <f>I208*$J$2</f>
        <v>0.84</v>
      </c>
      <c r="K208" s="136">
        <v>0</v>
      </c>
      <c r="L208" s="139"/>
      <c r="M208" s="139"/>
      <c r="N208" s="136"/>
      <c r="O208" s="11"/>
      <c r="P208" s="136"/>
      <c r="Q208" s="140"/>
      <c r="R208" s="136"/>
      <c r="S208" s="136"/>
      <c r="T208" s="136"/>
      <c r="U208" s="136">
        <f t="shared" si="52"/>
        <v>39.889864</v>
      </c>
    </row>
    <row r="209" spans="1:21" ht="15" outlineLevel="2">
      <c r="A209" s="6" t="str">
        <f>A208</f>
        <v>M320</v>
      </c>
      <c r="B209" s="11" t="str">
        <f>B208</f>
        <v>DOH-CHS</v>
      </c>
      <c r="C209" s="11" t="str">
        <f>C208</f>
        <v>COMM. HEALTH SERVICES</v>
      </c>
      <c r="D209" s="13" t="str">
        <f>D208</f>
        <v>43550-GF</v>
      </c>
      <c r="E209" s="24" t="str">
        <f>E208</f>
        <v>40-30</v>
      </c>
      <c r="F209" s="39" t="s">
        <v>585</v>
      </c>
      <c r="G209" s="24" t="s">
        <v>585</v>
      </c>
      <c r="H209" s="136"/>
      <c r="I209" s="149"/>
      <c r="J209" s="136"/>
      <c r="K209" s="136"/>
      <c r="L209" s="139">
        <v>2.2</v>
      </c>
      <c r="M209" s="139">
        <v>0.24</v>
      </c>
      <c r="N209" s="136">
        <f>L209*M209*$N$2</f>
        <v>1655.28</v>
      </c>
      <c r="O209" s="11"/>
      <c r="P209" s="136"/>
      <c r="Q209" s="140"/>
      <c r="R209" s="136"/>
      <c r="S209" s="136"/>
      <c r="T209" s="136"/>
      <c r="U209" s="136">
        <f t="shared" si="52"/>
        <v>1655.28</v>
      </c>
    </row>
    <row r="210" spans="1:21" ht="15" outlineLevel="2">
      <c r="A210" s="28" t="s">
        <v>288</v>
      </c>
      <c r="B210" s="11" t="str">
        <f aca="true" t="shared" si="53" ref="B210:E211">B209</f>
        <v>DOH-CHS</v>
      </c>
      <c r="C210" s="11" t="str">
        <f t="shared" si="53"/>
        <v>COMM. HEALTH SERVICES</v>
      </c>
      <c r="D210" s="13" t="str">
        <f t="shared" si="53"/>
        <v>43550-GF</v>
      </c>
      <c r="E210" s="38" t="str">
        <f t="shared" si="53"/>
        <v>40-30</v>
      </c>
      <c r="F210" s="20" t="s">
        <v>615</v>
      </c>
      <c r="G210" s="11" t="s">
        <v>615</v>
      </c>
      <c r="H210" s="136"/>
      <c r="I210" s="140"/>
      <c r="J210" s="136"/>
      <c r="K210" s="136"/>
      <c r="L210" s="139"/>
      <c r="M210" s="139"/>
      <c r="N210" s="136"/>
      <c r="O210" s="29">
        <f>6.75+2.25+5.5</f>
        <v>14.5</v>
      </c>
      <c r="P210" s="136">
        <f>O210*$P$2</f>
        <v>1044</v>
      </c>
      <c r="Q210" s="140"/>
      <c r="R210" s="136"/>
      <c r="S210" s="136"/>
      <c r="T210" s="136"/>
      <c r="U210" s="136">
        <f t="shared" si="52"/>
        <v>1044</v>
      </c>
    </row>
    <row r="211" spans="1:21" ht="15" outlineLevel="2">
      <c r="A211" s="36" t="s">
        <v>657</v>
      </c>
      <c r="B211" s="11" t="str">
        <f t="shared" si="53"/>
        <v>DOH-CHS</v>
      </c>
      <c r="C211" s="11" t="str">
        <f t="shared" si="53"/>
        <v>COMM. HEALTH SERVICES</v>
      </c>
      <c r="D211" s="13" t="str">
        <f t="shared" si="53"/>
        <v>43550-GF</v>
      </c>
      <c r="E211" s="27" t="str">
        <f t="shared" si="53"/>
        <v>40-30</v>
      </c>
      <c r="F211" s="20" t="s">
        <v>683</v>
      </c>
      <c r="G211" s="11" t="s">
        <v>683</v>
      </c>
      <c r="H211" s="136"/>
      <c r="I211" s="140"/>
      <c r="J211" s="136"/>
      <c r="K211" s="136"/>
      <c r="L211" s="139"/>
      <c r="M211" s="139"/>
      <c r="N211" s="136"/>
      <c r="O211" s="34"/>
      <c r="P211" s="136"/>
      <c r="Q211" s="140"/>
      <c r="R211" s="136"/>
      <c r="S211" s="136"/>
      <c r="T211" s="150">
        <f>5.19+11.05</f>
        <v>16.240000000000002</v>
      </c>
      <c r="U211" s="136">
        <f t="shared" si="52"/>
        <v>16.240000000000002</v>
      </c>
    </row>
    <row r="212" spans="1:21" s="5" customFormat="1" ht="15.75" outlineLevel="1">
      <c r="A212" s="1" t="s">
        <v>911</v>
      </c>
      <c r="B212" s="172"/>
      <c r="C212" s="2"/>
      <c r="D212" s="19"/>
      <c r="E212" s="44"/>
      <c r="F212" s="51"/>
      <c r="G212" s="2"/>
      <c r="H212" s="137">
        <f aca="true" t="shared" si="54" ref="H212:U212">SUBTOTAL(9,H203:H211)</f>
        <v>1465.7613922</v>
      </c>
      <c r="I212" s="144">
        <f t="shared" si="54"/>
        <v>1510</v>
      </c>
      <c r="J212" s="137">
        <f t="shared" si="54"/>
        <v>113.12</v>
      </c>
      <c r="K212" s="137">
        <f t="shared" si="54"/>
        <v>180</v>
      </c>
      <c r="L212" s="141">
        <f t="shared" si="54"/>
        <v>2.2</v>
      </c>
      <c r="M212" s="141">
        <f t="shared" si="54"/>
        <v>0.24</v>
      </c>
      <c r="N212" s="137">
        <f t="shared" si="54"/>
        <v>1655.28</v>
      </c>
      <c r="O212" s="45">
        <f t="shared" si="54"/>
        <v>14.5</v>
      </c>
      <c r="P212" s="137">
        <f t="shared" si="54"/>
        <v>1044</v>
      </c>
      <c r="Q212" s="167">
        <f t="shared" si="54"/>
        <v>0</v>
      </c>
      <c r="R212" s="137">
        <f t="shared" si="54"/>
        <v>0</v>
      </c>
      <c r="S212" s="137">
        <f t="shared" si="54"/>
        <v>0</v>
      </c>
      <c r="T212" s="137">
        <f t="shared" si="54"/>
        <v>16.240000000000002</v>
      </c>
      <c r="U212" s="137">
        <f t="shared" si="54"/>
        <v>4474.4013921999995</v>
      </c>
    </row>
    <row r="213" spans="1:21" ht="15" outlineLevel="2">
      <c r="A213" s="6" t="s">
        <v>318</v>
      </c>
      <c r="B213" s="7" t="s">
        <v>73</v>
      </c>
      <c r="C213" s="7" t="s">
        <v>74</v>
      </c>
      <c r="D213" s="8" t="s">
        <v>319</v>
      </c>
      <c r="E213" s="42" t="s">
        <v>139</v>
      </c>
      <c r="F213" s="39" t="s">
        <v>53</v>
      </c>
      <c r="G213" s="11" t="s">
        <v>62</v>
      </c>
      <c r="H213" s="136">
        <v>4.5152716</v>
      </c>
      <c r="I213" s="140">
        <v>13</v>
      </c>
      <c r="J213" s="136">
        <f>I213*$J$1</f>
        <v>1.3</v>
      </c>
      <c r="K213" s="136">
        <v>15</v>
      </c>
      <c r="L213" s="139"/>
      <c r="M213" s="139"/>
      <c r="N213" s="136"/>
      <c r="O213" s="11"/>
      <c r="P213" s="136"/>
      <c r="Q213" s="140"/>
      <c r="R213" s="136"/>
      <c r="S213" s="136"/>
      <c r="T213" s="136"/>
      <c r="U213" s="136">
        <f>H213+J213+K213+N213+P213+R213+S213+T213</f>
        <v>20.8152716</v>
      </c>
    </row>
    <row r="214" spans="1:21" ht="15" outlineLevel="2">
      <c r="A214" s="6" t="s">
        <v>318</v>
      </c>
      <c r="B214" s="7" t="s">
        <v>73</v>
      </c>
      <c r="C214" s="7" t="s">
        <v>74</v>
      </c>
      <c r="D214" s="8" t="s">
        <v>319</v>
      </c>
      <c r="E214" s="42" t="s">
        <v>139</v>
      </c>
      <c r="F214" s="39" t="s">
        <v>53</v>
      </c>
      <c r="G214" s="11" t="s">
        <v>63</v>
      </c>
      <c r="H214" s="136">
        <v>1.897966</v>
      </c>
      <c r="I214" s="140">
        <v>1</v>
      </c>
      <c r="J214" s="136">
        <f>I214*$J$2</f>
        <v>0.06</v>
      </c>
      <c r="K214" s="136">
        <v>15</v>
      </c>
      <c r="L214" s="139"/>
      <c r="M214" s="139"/>
      <c r="N214" s="136"/>
      <c r="O214" s="11"/>
      <c r="P214" s="136"/>
      <c r="Q214" s="140"/>
      <c r="R214" s="136"/>
      <c r="S214" s="136"/>
      <c r="T214" s="136"/>
      <c r="U214" s="136">
        <f>H214+J214+K214+N214+P214+R214+S214+T214</f>
        <v>16.957966</v>
      </c>
    </row>
    <row r="215" spans="1:21" s="5" customFormat="1" ht="15.75" outlineLevel="1">
      <c r="A215" s="1" t="s">
        <v>912</v>
      </c>
      <c r="B215" s="172"/>
      <c r="C215" s="2"/>
      <c r="D215" s="19"/>
      <c r="E215" s="44"/>
      <c r="F215" s="51"/>
      <c r="G215" s="2"/>
      <c r="H215" s="137">
        <f aca="true" t="shared" si="55" ref="H215:U215">SUBTOTAL(9,H213:H214)</f>
        <v>6.4132376</v>
      </c>
      <c r="I215" s="144">
        <f t="shared" si="55"/>
        <v>14</v>
      </c>
      <c r="J215" s="137">
        <f t="shared" si="55"/>
        <v>1.36</v>
      </c>
      <c r="K215" s="137">
        <f t="shared" si="55"/>
        <v>30</v>
      </c>
      <c r="L215" s="141">
        <f t="shared" si="55"/>
        <v>0</v>
      </c>
      <c r="M215" s="141">
        <f t="shared" si="55"/>
        <v>0</v>
      </c>
      <c r="N215" s="137">
        <f t="shared" si="55"/>
        <v>0</v>
      </c>
      <c r="O215" s="45">
        <f t="shared" si="55"/>
        <v>0</v>
      </c>
      <c r="P215" s="137">
        <f t="shared" si="55"/>
        <v>0</v>
      </c>
      <c r="Q215" s="167">
        <f t="shared" si="55"/>
        <v>0</v>
      </c>
      <c r="R215" s="137">
        <f t="shared" si="55"/>
        <v>0</v>
      </c>
      <c r="S215" s="137">
        <f t="shared" si="55"/>
        <v>0</v>
      </c>
      <c r="T215" s="137">
        <f t="shared" si="55"/>
        <v>0</v>
      </c>
      <c r="U215" s="137">
        <f t="shared" si="55"/>
        <v>37.7732376</v>
      </c>
    </row>
    <row r="216" spans="1:21" ht="15" outlineLevel="2">
      <c r="A216" s="6" t="s">
        <v>320</v>
      </c>
      <c r="B216" s="7" t="s">
        <v>92</v>
      </c>
      <c r="C216" s="7" t="s">
        <v>93</v>
      </c>
      <c r="D216" s="8" t="s">
        <v>321</v>
      </c>
      <c r="E216" s="42" t="s">
        <v>95</v>
      </c>
      <c r="F216" s="39" t="s">
        <v>53</v>
      </c>
      <c r="G216" s="24" t="s">
        <v>62</v>
      </c>
      <c r="H216" s="136">
        <v>154.4451482</v>
      </c>
      <c r="I216" s="149">
        <v>470</v>
      </c>
      <c r="J216" s="136">
        <f>I216*$J$1</f>
        <v>47</v>
      </c>
      <c r="K216" s="136">
        <v>15</v>
      </c>
      <c r="L216" s="139"/>
      <c r="M216" s="139"/>
      <c r="N216" s="136"/>
      <c r="O216" s="11"/>
      <c r="P216" s="136"/>
      <c r="Q216" s="140"/>
      <c r="R216" s="136"/>
      <c r="S216" s="136"/>
      <c r="T216" s="136"/>
      <c r="U216" s="136">
        <f aca="true" t="shared" si="56" ref="U216:U223">H216+J216+K216+N216+P216+R216+S216+T216</f>
        <v>216.4451482</v>
      </c>
    </row>
    <row r="217" spans="1:21" ht="15" outlineLevel="2">
      <c r="A217" s="6" t="s">
        <v>320</v>
      </c>
      <c r="B217" s="7" t="s">
        <v>92</v>
      </c>
      <c r="C217" s="7" t="s">
        <v>93</v>
      </c>
      <c r="D217" s="8" t="s">
        <v>321</v>
      </c>
      <c r="E217" s="42" t="s">
        <v>95</v>
      </c>
      <c r="F217" s="39" t="s">
        <v>53</v>
      </c>
      <c r="G217" s="24" t="s">
        <v>63</v>
      </c>
      <c r="H217" s="136">
        <v>91.742014</v>
      </c>
      <c r="I217" s="149">
        <v>34</v>
      </c>
      <c r="J217" s="136">
        <f>I217*$J$2</f>
        <v>2.04</v>
      </c>
      <c r="K217" s="136">
        <v>15</v>
      </c>
      <c r="L217" s="139"/>
      <c r="M217" s="139"/>
      <c r="N217" s="136"/>
      <c r="O217" s="11"/>
      <c r="P217" s="136"/>
      <c r="Q217" s="140"/>
      <c r="R217" s="136"/>
      <c r="S217" s="136"/>
      <c r="T217" s="136"/>
      <c r="U217" s="136">
        <f t="shared" si="56"/>
        <v>108.782014</v>
      </c>
    </row>
    <row r="218" spans="1:21" ht="15" outlineLevel="2">
      <c r="A218" s="6" t="s">
        <v>320</v>
      </c>
      <c r="B218" s="7" t="s">
        <v>92</v>
      </c>
      <c r="C218" s="7" t="s">
        <v>93</v>
      </c>
      <c r="D218" s="8" t="s">
        <v>321</v>
      </c>
      <c r="E218" s="42" t="s">
        <v>95</v>
      </c>
      <c r="F218" s="39" t="s">
        <v>53</v>
      </c>
      <c r="G218" s="24" t="s">
        <v>64</v>
      </c>
      <c r="H218" s="136">
        <v>30.855055</v>
      </c>
      <c r="I218" s="149">
        <v>23</v>
      </c>
      <c r="J218" s="136">
        <f>I218*$J$2</f>
        <v>1.38</v>
      </c>
      <c r="K218" s="136">
        <v>0</v>
      </c>
      <c r="L218" s="139"/>
      <c r="M218" s="139"/>
      <c r="N218" s="136"/>
      <c r="O218" s="11"/>
      <c r="P218" s="136"/>
      <c r="Q218" s="140"/>
      <c r="R218" s="136"/>
      <c r="S218" s="136"/>
      <c r="T218" s="136"/>
      <c r="U218" s="136">
        <f t="shared" si="56"/>
        <v>32.235055</v>
      </c>
    </row>
    <row r="219" spans="1:21" ht="15" outlineLevel="2">
      <c r="A219" s="6" t="s">
        <v>320</v>
      </c>
      <c r="B219" s="7" t="s">
        <v>92</v>
      </c>
      <c r="C219" s="7" t="s">
        <v>93</v>
      </c>
      <c r="D219" s="8" t="s">
        <v>321</v>
      </c>
      <c r="E219" s="42" t="s">
        <v>95</v>
      </c>
      <c r="F219" s="39" t="s">
        <v>53</v>
      </c>
      <c r="G219" s="24" t="s">
        <v>65</v>
      </c>
      <c r="H219" s="136">
        <v>407.255268</v>
      </c>
      <c r="I219" s="149">
        <v>1025</v>
      </c>
      <c r="J219" s="136">
        <f>I219*$J$2</f>
        <v>61.5</v>
      </c>
      <c r="K219" s="136">
        <v>150</v>
      </c>
      <c r="L219" s="139"/>
      <c r="M219" s="139"/>
      <c r="N219" s="136"/>
      <c r="O219" s="11"/>
      <c r="P219" s="136"/>
      <c r="Q219" s="140"/>
      <c r="R219" s="136"/>
      <c r="S219" s="136"/>
      <c r="T219" s="136"/>
      <c r="U219" s="136">
        <f t="shared" si="56"/>
        <v>618.755268</v>
      </c>
    </row>
    <row r="220" spans="1:21" ht="15" outlineLevel="2">
      <c r="A220" s="6" t="s">
        <v>320</v>
      </c>
      <c r="B220" s="7" t="s">
        <v>92</v>
      </c>
      <c r="C220" s="7" t="s">
        <v>93</v>
      </c>
      <c r="D220" s="8" t="s">
        <v>321</v>
      </c>
      <c r="E220" s="42" t="s">
        <v>95</v>
      </c>
      <c r="F220" s="39" t="s">
        <v>53</v>
      </c>
      <c r="G220" s="24" t="s">
        <v>66</v>
      </c>
      <c r="H220" s="136">
        <v>6.6617558</v>
      </c>
      <c r="I220" s="149">
        <v>7</v>
      </c>
      <c r="J220" s="136">
        <f>I220*$J$2</f>
        <v>0.42</v>
      </c>
      <c r="K220" s="136">
        <v>0</v>
      </c>
      <c r="L220" s="139"/>
      <c r="M220" s="139"/>
      <c r="N220" s="136"/>
      <c r="O220" s="11"/>
      <c r="P220" s="136"/>
      <c r="Q220" s="140"/>
      <c r="R220" s="136"/>
      <c r="S220" s="136"/>
      <c r="T220" s="136"/>
      <c r="U220" s="136">
        <f t="shared" si="56"/>
        <v>7.0817558</v>
      </c>
    </row>
    <row r="221" spans="1:21" ht="15" outlineLevel="2">
      <c r="A221" s="6" t="s">
        <v>320</v>
      </c>
      <c r="B221" s="7" t="s">
        <v>92</v>
      </c>
      <c r="C221" s="7" t="s">
        <v>93</v>
      </c>
      <c r="D221" s="8" t="s">
        <v>321</v>
      </c>
      <c r="E221" s="42" t="s">
        <v>95</v>
      </c>
      <c r="F221" s="39" t="s">
        <v>53</v>
      </c>
      <c r="G221" s="24" t="s">
        <v>90</v>
      </c>
      <c r="H221" s="136">
        <v>82.6527492</v>
      </c>
      <c r="I221" s="149">
        <v>302</v>
      </c>
      <c r="J221" s="136">
        <f>I221*$J$2</f>
        <v>18.12</v>
      </c>
      <c r="K221" s="136">
        <v>0</v>
      </c>
      <c r="L221" s="139"/>
      <c r="M221" s="139"/>
      <c r="N221" s="136"/>
      <c r="O221" s="11"/>
      <c r="P221" s="136"/>
      <c r="Q221" s="140"/>
      <c r="R221" s="136"/>
      <c r="S221" s="136"/>
      <c r="T221" s="136"/>
      <c r="U221" s="136">
        <f t="shared" si="56"/>
        <v>100.7727492</v>
      </c>
    </row>
    <row r="222" spans="1:21" ht="15" outlineLevel="2">
      <c r="A222" s="6" t="str">
        <f>A221</f>
        <v>M430</v>
      </c>
      <c r="B222" s="11" t="str">
        <f>B221</f>
        <v>DOH-CHS</v>
      </c>
      <c r="C222" s="11" t="str">
        <f>C221</f>
        <v>COMM. HEALTH SERVICES</v>
      </c>
      <c r="D222" s="13" t="str">
        <f>D221</f>
        <v>403100</v>
      </c>
      <c r="E222" s="24" t="str">
        <f>E221</f>
        <v>40-30</v>
      </c>
      <c r="F222" s="39" t="s">
        <v>585</v>
      </c>
      <c r="G222" s="24" t="s">
        <v>585</v>
      </c>
      <c r="H222" s="136"/>
      <c r="I222" s="149"/>
      <c r="J222" s="136"/>
      <c r="K222" s="136"/>
      <c r="L222" s="139">
        <v>1</v>
      </c>
      <c r="M222" s="139">
        <v>1</v>
      </c>
      <c r="N222" s="136">
        <f>L222*M222*$N$2</f>
        <v>3135</v>
      </c>
      <c r="O222" s="11"/>
      <c r="P222" s="136"/>
      <c r="Q222" s="140"/>
      <c r="R222" s="136"/>
      <c r="S222" s="136"/>
      <c r="T222" s="136"/>
      <c r="U222" s="136">
        <f t="shared" si="56"/>
        <v>3135</v>
      </c>
    </row>
    <row r="223" spans="1:21" ht="15" outlineLevel="2">
      <c r="A223" s="28" t="s">
        <v>320</v>
      </c>
      <c r="B223" s="11" t="str">
        <f>B222</f>
        <v>DOH-CHS</v>
      </c>
      <c r="C223" s="11" t="str">
        <f>C222</f>
        <v>COMM. HEALTH SERVICES</v>
      </c>
      <c r="D223" s="13" t="str">
        <f>D222</f>
        <v>403100</v>
      </c>
      <c r="E223" s="38" t="str">
        <f>E222</f>
        <v>40-30</v>
      </c>
      <c r="F223" s="20" t="s">
        <v>615</v>
      </c>
      <c r="G223" s="11" t="s">
        <v>615</v>
      </c>
      <c r="H223" s="136"/>
      <c r="I223" s="140"/>
      <c r="J223" s="136"/>
      <c r="K223" s="136"/>
      <c r="L223" s="139"/>
      <c r="M223" s="139"/>
      <c r="N223" s="136"/>
      <c r="O223" s="29">
        <f>1+1.25</f>
        <v>2.25</v>
      </c>
      <c r="P223" s="136">
        <f>O223*$P$2</f>
        <v>162</v>
      </c>
      <c r="Q223" s="140"/>
      <c r="R223" s="136"/>
      <c r="S223" s="136"/>
      <c r="T223" s="136"/>
      <c r="U223" s="136">
        <f t="shared" si="56"/>
        <v>162</v>
      </c>
    </row>
    <row r="224" spans="1:21" s="5" customFormat="1" ht="15.75" outlineLevel="1">
      <c r="A224" s="1" t="s">
        <v>913</v>
      </c>
      <c r="B224" s="172"/>
      <c r="C224" s="2"/>
      <c r="D224" s="19"/>
      <c r="E224" s="44"/>
      <c r="F224" s="51"/>
      <c r="G224" s="2"/>
      <c r="H224" s="137">
        <f aca="true" t="shared" si="57" ref="H224:U224">SUBTOTAL(9,H216:H223)</f>
        <v>773.6119902</v>
      </c>
      <c r="I224" s="144">
        <f t="shared" si="57"/>
        <v>1861</v>
      </c>
      <c r="J224" s="137">
        <f t="shared" si="57"/>
        <v>130.46</v>
      </c>
      <c r="K224" s="137">
        <f t="shared" si="57"/>
        <v>180</v>
      </c>
      <c r="L224" s="141">
        <f t="shared" si="57"/>
        <v>1</v>
      </c>
      <c r="M224" s="141">
        <f t="shared" si="57"/>
        <v>1</v>
      </c>
      <c r="N224" s="137">
        <f t="shared" si="57"/>
        <v>3135</v>
      </c>
      <c r="O224" s="45">
        <f t="shared" si="57"/>
        <v>2.25</v>
      </c>
      <c r="P224" s="137">
        <f t="shared" si="57"/>
        <v>162</v>
      </c>
      <c r="Q224" s="167">
        <f t="shared" si="57"/>
        <v>0</v>
      </c>
      <c r="R224" s="137">
        <f t="shared" si="57"/>
        <v>0</v>
      </c>
      <c r="S224" s="137">
        <f t="shared" si="57"/>
        <v>0</v>
      </c>
      <c r="T224" s="137">
        <f t="shared" si="57"/>
        <v>0</v>
      </c>
      <c r="U224" s="137">
        <f t="shared" si="57"/>
        <v>4381.0719902</v>
      </c>
    </row>
    <row r="225" spans="1:21" ht="15" outlineLevel="2">
      <c r="A225" s="30" t="s">
        <v>617</v>
      </c>
      <c r="B225" s="17" t="s">
        <v>73</v>
      </c>
      <c r="C225" s="17" t="s">
        <v>74</v>
      </c>
      <c r="D225" s="20">
        <v>404575</v>
      </c>
      <c r="E225" s="38" t="s">
        <v>328</v>
      </c>
      <c r="F225" s="20" t="s">
        <v>615</v>
      </c>
      <c r="G225" s="17" t="s">
        <v>615</v>
      </c>
      <c r="H225" s="152"/>
      <c r="I225" s="153"/>
      <c r="J225" s="152"/>
      <c r="K225" s="152"/>
      <c r="L225" s="154"/>
      <c r="M225" s="154"/>
      <c r="N225" s="152"/>
      <c r="O225" s="32">
        <v>0.25</v>
      </c>
      <c r="P225" s="136">
        <f>O225*$P$2</f>
        <v>18</v>
      </c>
      <c r="Q225" s="153"/>
      <c r="R225" s="136"/>
      <c r="S225" s="152"/>
      <c r="T225" s="152"/>
      <c r="U225" s="136">
        <f>H225+J225+K225+N225+P225+R225+S225+T225</f>
        <v>18</v>
      </c>
    </row>
    <row r="226" spans="1:21" s="5" customFormat="1" ht="15.75" outlineLevel="1">
      <c r="A226" s="1" t="s">
        <v>914</v>
      </c>
      <c r="B226" s="172"/>
      <c r="C226" s="2"/>
      <c r="D226" s="19"/>
      <c r="E226" s="44"/>
      <c r="F226" s="51"/>
      <c r="G226" s="2"/>
      <c r="H226" s="137">
        <f aca="true" t="shared" si="58" ref="H226:U226">SUBTOTAL(9,H225:H225)</f>
        <v>0</v>
      </c>
      <c r="I226" s="144">
        <f t="shared" si="58"/>
        <v>0</v>
      </c>
      <c r="J226" s="137">
        <f t="shared" si="58"/>
        <v>0</v>
      </c>
      <c r="K226" s="137">
        <f t="shared" si="58"/>
        <v>0</v>
      </c>
      <c r="L226" s="141">
        <f t="shared" si="58"/>
        <v>0</v>
      </c>
      <c r="M226" s="141">
        <f t="shared" si="58"/>
        <v>0</v>
      </c>
      <c r="N226" s="137">
        <f t="shared" si="58"/>
        <v>0</v>
      </c>
      <c r="O226" s="45">
        <f t="shared" si="58"/>
        <v>0.25</v>
      </c>
      <c r="P226" s="137">
        <f t="shared" si="58"/>
        <v>18</v>
      </c>
      <c r="Q226" s="167">
        <f t="shared" si="58"/>
        <v>0</v>
      </c>
      <c r="R226" s="137">
        <f t="shared" si="58"/>
        <v>0</v>
      </c>
      <c r="S226" s="137">
        <f t="shared" si="58"/>
        <v>0</v>
      </c>
      <c r="T226" s="137">
        <f t="shared" si="58"/>
        <v>0</v>
      </c>
      <c r="U226" s="137">
        <f t="shared" si="58"/>
        <v>18</v>
      </c>
    </row>
    <row r="227" spans="1:21" ht="15" outlineLevel="2">
      <c r="A227" s="6" t="s">
        <v>322</v>
      </c>
      <c r="B227" s="7" t="s">
        <v>92</v>
      </c>
      <c r="C227" s="7" t="s">
        <v>93</v>
      </c>
      <c r="D227" s="8" t="s">
        <v>323</v>
      </c>
      <c r="E227" s="42" t="s">
        <v>95</v>
      </c>
      <c r="F227" s="39" t="s">
        <v>53</v>
      </c>
      <c r="G227" s="24" t="s">
        <v>62</v>
      </c>
      <c r="H227" s="136">
        <v>42.182032199999995</v>
      </c>
      <c r="I227" s="149">
        <v>131</v>
      </c>
      <c r="J227" s="136">
        <f>I227*$J$1</f>
        <v>13.100000000000001</v>
      </c>
      <c r="K227" s="136">
        <v>60</v>
      </c>
      <c r="L227" s="139"/>
      <c r="M227" s="139"/>
      <c r="N227" s="136"/>
      <c r="O227" s="11"/>
      <c r="P227" s="136"/>
      <c r="Q227" s="140"/>
      <c r="R227" s="136"/>
      <c r="S227" s="136"/>
      <c r="T227" s="136"/>
      <c r="U227" s="136">
        <f>H227+J227+K227+N227+P227+R227+S227+T227</f>
        <v>115.2820322</v>
      </c>
    </row>
    <row r="228" spans="1:21" ht="15" outlineLevel="2">
      <c r="A228" s="6" t="s">
        <v>322</v>
      </c>
      <c r="B228" s="7" t="s">
        <v>92</v>
      </c>
      <c r="C228" s="7" t="s">
        <v>93</v>
      </c>
      <c r="D228" s="8" t="s">
        <v>323</v>
      </c>
      <c r="E228" s="42" t="s">
        <v>95</v>
      </c>
      <c r="F228" s="39" t="s">
        <v>53</v>
      </c>
      <c r="G228" s="24" t="s">
        <v>63</v>
      </c>
      <c r="H228" s="136">
        <v>13.935894</v>
      </c>
      <c r="I228" s="149">
        <v>7</v>
      </c>
      <c r="J228" s="136">
        <f>I228*$J$2</f>
        <v>0.42</v>
      </c>
      <c r="K228" s="136">
        <v>0</v>
      </c>
      <c r="L228" s="139"/>
      <c r="M228" s="139"/>
      <c r="N228" s="136"/>
      <c r="O228" s="11"/>
      <c r="P228" s="136"/>
      <c r="Q228" s="140"/>
      <c r="R228" s="136"/>
      <c r="S228" s="136"/>
      <c r="T228" s="136"/>
      <c r="U228" s="136">
        <f>H228+J228+K228+N228+P228+R228+S228+T228</f>
        <v>14.355894</v>
      </c>
    </row>
    <row r="229" spans="1:21" ht="15" outlineLevel="2">
      <c r="A229" s="6" t="s">
        <v>322</v>
      </c>
      <c r="B229" s="7" t="s">
        <v>92</v>
      </c>
      <c r="C229" s="7" t="s">
        <v>93</v>
      </c>
      <c r="D229" s="8" t="s">
        <v>323</v>
      </c>
      <c r="E229" s="42" t="s">
        <v>95</v>
      </c>
      <c r="F229" s="39" t="s">
        <v>53</v>
      </c>
      <c r="G229" s="24" t="s">
        <v>64</v>
      </c>
      <c r="H229" s="136">
        <v>7.9368533999999995</v>
      </c>
      <c r="I229" s="149">
        <v>7</v>
      </c>
      <c r="J229" s="136">
        <f>I229*$J$2</f>
        <v>0.42</v>
      </c>
      <c r="K229" s="136">
        <v>0</v>
      </c>
      <c r="L229" s="139"/>
      <c r="M229" s="139"/>
      <c r="N229" s="136"/>
      <c r="O229" s="11"/>
      <c r="P229" s="136"/>
      <c r="Q229" s="140"/>
      <c r="R229" s="136"/>
      <c r="S229" s="136"/>
      <c r="T229" s="136"/>
      <c r="U229" s="136">
        <f>H229+J229+K229+N229+P229+R229+S229+T229</f>
        <v>8.3568534</v>
      </c>
    </row>
    <row r="230" spans="1:21" ht="15" outlineLevel="2">
      <c r="A230" s="6" t="s">
        <v>322</v>
      </c>
      <c r="B230" s="7" t="s">
        <v>92</v>
      </c>
      <c r="C230" s="7" t="s">
        <v>93</v>
      </c>
      <c r="D230" s="8" t="s">
        <v>323</v>
      </c>
      <c r="E230" s="42" t="s">
        <v>95</v>
      </c>
      <c r="F230" s="39" t="s">
        <v>53</v>
      </c>
      <c r="G230" s="24" t="s">
        <v>65</v>
      </c>
      <c r="H230" s="136">
        <v>41.68185</v>
      </c>
      <c r="I230" s="149">
        <v>92</v>
      </c>
      <c r="J230" s="136">
        <f>I230*$J$2</f>
        <v>5.52</v>
      </c>
      <c r="K230" s="136">
        <v>105</v>
      </c>
      <c r="L230" s="139"/>
      <c r="M230" s="139"/>
      <c r="N230" s="136"/>
      <c r="O230" s="11"/>
      <c r="P230" s="136"/>
      <c r="Q230" s="140"/>
      <c r="R230" s="136"/>
      <c r="S230" s="136"/>
      <c r="T230" s="136"/>
      <c r="U230" s="136">
        <f>H230+J230+K230+N230+P230+R230+S230+T230</f>
        <v>152.20184999999998</v>
      </c>
    </row>
    <row r="231" spans="1:21" ht="15" outlineLevel="2">
      <c r="A231" s="6" t="s">
        <v>322</v>
      </c>
      <c r="B231" s="7" t="s">
        <v>92</v>
      </c>
      <c r="C231" s="7" t="s">
        <v>93</v>
      </c>
      <c r="D231" s="8" t="s">
        <v>323</v>
      </c>
      <c r="E231" s="42" t="s">
        <v>95</v>
      </c>
      <c r="F231" s="39" t="s">
        <v>53</v>
      </c>
      <c r="G231" s="24" t="s">
        <v>66</v>
      </c>
      <c r="H231" s="136">
        <v>7.3999702</v>
      </c>
      <c r="I231" s="149">
        <v>8</v>
      </c>
      <c r="J231" s="136">
        <f>I231*$J$2</f>
        <v>0.48</v>
      </c>
      <c r="K231" s="136">
        <v>15</v>
      </c>
      <c r="L231" s="139"/>
      <c r="M231" s="139"/>
      <c r="N231" s="136"/>
      <c r="O231" s="11"/>
      <c r="P231" s="136"/>
      <c r="Q231" s="140"/>
      <c r="R231" s="136"/>
      <c r="S231" s="136"/>
      <c r="T231" s="136"/>
      <c r="U231" s="136">
        <f>H231+J231+K231+N231+P231+R231+S231+T231</f>
        <v>22.879970200000002</v>
      </c>
    </row>
    <row r="232" spans="1:21" s="5" customFormat="1" ht="15.75" outlineLevel="1">
      <c r="A232" s="1" t="s">
        <v>915</v>
      </c>
      <c r="B232" s="172"/>
      <c r="C232" s="2"/>
      <c r="D232" s="19"/>
      <c r="E232" s="44"/>
      <c r="F232" s="51"/>
      <c r="G232" s="2"/>
      <c r="H232" s="137">
        <f aca="true" t="shared" si="59" ref="H232:U232">SUBTOTAL(9,H227:H231)</f>
        <v>113.13659979999998</v>
      </c>
      <c r="I232" s="144">
        <f t="shared" si="59"/>
        <v>245</v>
      </c>
      <c r="J232" s="137">
        <f t="shared" si="59"/>
        <v>19.94</v>
      </c>
      <c r="K232" s="137">
        <f t="shared" si="59"/>
        <v>180</v>
      </c>
      <c r="L232" s="141">
        <f t="shared" si="59"/>
        <v>0</v>
      </c>
      <c r="M232" s="141">
        <f t="shared" si="59"/>
        <v>0</v>
      </c>
      <c r="N232" s="137">
        <f t="shared" si="59"/>
        <v>0</v>
      </c>
      <c r="O232" s="45">
        <f t="shared" si="59"/>
        <v>0</v>
      </c>
      <c r="P232" s="137">
        <f t="shared" si="59"/>
        <v>0</v>
      </c>
      <c r="Q232" s="167">
        <f t="shared" si="59"/>
        <v>0</v>
      </c>
      <c r="R232" s="137">
        <f t="shared" si="59"/>
        <v>0</v>
      </c>
      <c r="S232" s="137">
        <f t="shared" si="59"/>
        <v>0</v>
      </c>
      <c r="T232" s="137">
        <f t="shared" si="59"/>
        <v>0</v>
      </c>
      <c r="U232" s="137">
        <f t="shared" si="59"/>
        <v>313.0765998</v>
      </c>
    </row>
    <row r="233" spans="1:21" ht="15" outlineLevel="2">
      <c r="A233" s="6" t="s">
        <v>326</v>
      </c>
      <c r="B233" s="7" t="s">
        <v>73</v>
      </c>
      <c r="C233" s="7" t="s">
        <v>74</v>
      </c>
      <c r="D233" s="7" t="s">
        <v>327</v>
      </c>
      <c r="E233" s="42" t="s">
        <v>328</v>
      </c>
      <c r="F233" s="39" t="s">
        <v>53</v>
      </c>
      <c r="G233" s="24" t="s">
        <v>62</v>
      </c>
      <c r="H233" s="136">
        <v>13.740854399999998</v>
      </c>
      <c r="I233" s="149">
        <v>42</v>
      </c>
      <c r="J233" s="136">
        <f>I233*$J$1</f>
        <v>4.2</v>
      </c>
      <c r="K233" s="136">
        <v>30</v>
      </c>
      <c r="L233" s="139"/>
      <c r="M233" s="139"/>
      <c r="N233" s="136"/>
      <c r="O233" s="11"/>
      <c r="P233" s="136"/>
      <c r="Q233" s="140"/>
      <c r="R233" s="136"/>
      <c r="S233" s="136"/>
      <c r="T233" s="136"/>
      <c r="U233" s="136">
        <f>H233+J233+K233+N233+P233+R233+S233+T233</f>
        <v>47.9408544</v>
      </c>
    </row>
    <row r="234" spans="1:21" ht="15" outlineLevel="2">
      <c r="A234" s="6" t="s">
        <v>326</v>
      </c>
      <c r="B234" s="7" t="s">
        <v>73</v>
      </c>
      <c r="C234" s="7" t="s">
        <v>74</v>
      </c>
      <c r="D234" s="7" t="s">
        <v>327</v>
      </c>
      <c r="E234" s="42" t="s">
        <v>328</v>
      </c>
      <c r="F234" s="39" t="s">
        <v>53</v>
      </c>
      <c r="G234" s="24" t="s">
        <v>64</v>
      </c>
      <c r="H234" s="136">
        <v>1.017142</v>
      </c>
      <c r="I234" s="149">
        <v>1</v>
      </c>
      <c r="J234" s="136">
        <f>I234*$J$2</f>
        <v>0.06</v>
      </c>
      <c r="K234" s="136">
        <v>0</v>
      </c>
      <c r="L234" s="139"/>
      <c r="M234" s="139"/>
      <c r="N234" s="136"/>
      <c r="O234" s="11"/>
      <c r="P234" s="136"/>
      <c r="Q234" s="140"/>
      <c r="R234" s="136"/>
      <c r="S234" s="136"/>
      <c r="T234" s="136"/>
      <c r="U234" s="136">
        <f>H234+J234+K234+N234+P234+R234+S234+T234</f>
        <v>1.077142</v>
      </c>
    </row>
    <row r="235" spans="1:21" ht="15" outlineLevel="2">
      <c r="A235" s="6" t="s">
        <v>326</v>
      </c>
      <c r="B235" s="7" t="s">
        <v>73</v>
      </c>
      <c r="C235" s="7" t="s">
        <v>74</v>
      </c>
      <c r="D235" s="7" t="s">
        <v>327</v>
      </c>
      <c r="E235" s="42" t="s">
        <v>328</v>
      </c>
      <c r="F235" s="39" t="s">
        <v>53</v>
      </c>
      <c r="G235" s="24" t="s">
        <v>65</v>
      </c>
      <c r="H235" s="136">
        <v>72.206596</v>
      </c>
      <c r="I235" s="149">
        <v>166</v>
      </c>
      <c r="J235" s="136">
        <f>I235*$J$2</f>
        <v>9.959999999999999</v>
      </c>
      <c r="K235" s="136">
        <v>150</v>
      </c>
      <c r="L235" s="139"/>
      <c r="M235" s="139"/>
      <c r="N235" s="136"/>
      <c r="O235" s="11"/>
      <c r="P235" s="136"/>
      <c r="Q235" s="140"/>
      <c r="R235" s="136"/>
      <c r="S235" s="136"/>
      <c r="T235" s="136"/>
      <c r="U235" s="136">
        <f>H235+J235+K235+N235+P235+R235+S235+T235</f>
        <v>232.166596</v>
      </c>
    </row>
    <row r="236" spans="1:21" ht="15" outlineLevel="2">
      <c r="A236" s="6" t="s">
        <v>326</v>
      </c>
      <c r="B236" s="7" t="s">
        <v>73</v>
      </c>
      <c r="C236" s="7" t="s">
        <v>74</v>
      </c>
      <c r="D236" s="7" t="s">
        <v>327</v>
      </c>
      <c r="E236" s="42" t="s">
        <v>328</v>
      </c>
      <c r="F236" s="39" t="s">
        <v>53</v>
      </c>
      <c r="G236" s="24" t="s">
        <v>66</v>
      </c>
      <c r="H236" s="136">
        <v>1.0894954</v>
      </c>
      <c r="I236" s="149">
        <v>1</v>
      </c>
      <c r="J236" s="136">
        <f>I236*$J$2</f>
        <v>0.06</v>
      </c>
      <c r="K236" s="136">
        <v>0</v>
      </c>
      <c r="L236" s="139"/>
      <c r="M236" s="139"/>
      <c r="N236" s="136"/>
      <c r="O236" s="11"/>
      <c r="P236" s="136"/>
      <c r="Q236" s="140"/>
      <c r="R236" s="136"/>
      <c r="S236" s="136"/>
      <c r="T236" s="136"/>
      <c r="U236" s="136">
        <f>H236+J236+K236+N236+P236+R236+S236+T236</f>
        <v>1.1494954</v>
      </c>
    </row>
    <row r="237" spans="1:21" ht="15" outlineLevel="2">
      <c r="A237" s="6" t="str">
        <f>A236</f>
        <v>M451</v>
      </c>
      <c r="B237" s="11" t="str">
        <f>B236</f>
        <v>DOH-ICS</v>
      </c>
      <c r="C237" s="11" t="str">
        <f>C236</f>
        <v>INTEGRATED CLINICAL SERVICES</v>
      </c>
      <c r="D237" s="13" t="str">
        <f>D236</f>
        <v>404555</v>
      </c>
      <c r="E237" s="24" t="str">
        <f>E236</f>
        <v>40-45</v>
      </c>
      <c r="F237" s="39" t="s">
        <v>585</v>
      </c>
      <c r="G237" s="24" t="s">
        <v>585</v>
      </c>
      <c r="H237" s="136"/>
      <c r="I237" s="149"/>
      <c r="J237" s="136"/>
      <c r="K237" s="136"/>
      <c r="L237" s="139">
        <v>1.74</v>
      </c>
      <c r="M237" s="139">
        <v>1</v>
      </c>
      <c r="N237" s="136">
        <f>L237*M237*$N$2</f>
        <v>5454.9</v>
      </c>
      <c r="O237" s="11"/>
      <c r="P237" s="136"/>
      <c r="Q237" s="140"/>
      <c r="R237" s="136"/>
      <c r="S237" s="136"/>
      <c r="T237" s="136"/>
      <c r="U237" s="136">
        <f>H237+J237+K237+N237+P237+R237+S237+T237</f>
        <v>5454.9</v>
      </c>
    </row>
    <row r="238" spans="1:21" s="5" customFormat="1" ht="15.75" outlineLevel="1">
      <c r="A238" s="1" t="s">
        <v>916</v>
      </c>
      <c r="B238" s="172"/>
      <c r="C238" s="2"/>
      <c r="D238" s="19"/>
      <c r="E238" s="44"/>
      <c r="F238" s="51"/>
      <c r="G238" s="2"/>
      <c r="H238" s="137">
        <f aca="true" t="shared" si="60" ref="H238:U238">SUBTOTAL(9,H233:H237)</f>
        <v>88.0540878</v>
      </c>
      <c r="I238" s="144">
        <f t="shared" si="60"/>
        <v>210</v>
      </c>
      <c r="J238" s="137">
        <f t="shared" si="60"/>
        <v>14.28</v>
      </c>
      <c r="K238" s="137">
        <f t="shared" si="60"/>
        <v>180</v>
      </c>
      <c r="L238" s="141">
        <f t="shared" si="60"/>
        <v>1.74</v>
      </c>
      <c r="M238" s="141">
        <f t="shared" si="60"/>
        <v>1</v>
      </c>
      <c r="N238" s="137">
        <f t="shared" si="60"/>
        <v>5454.9</v>
      </c>
      <c r="O238" s="45">
        <f t="shared" si="60"/>
        <v>0</v>
      </c>
      <c r="P238" s="137">
        <f t="shared" si="60"/>
        <v>0</v>
      </c>
      <c r="Q238" s="167">
        <f t="shared" si="60"/>
        <v>0</v>
      </c>
      <c r="R238" s="137">
        <f t="shared" si="60"/>
        <v>0</v>
      </c>
      <c r="S238" s="137">
        <f t="shared" si="60"/>
        <v>0</v>
      </c>
      <c r="T238" s="137">
        <f t="shared" si="60"/>
        <v>0</v>
      </c>
      <c r="U238" s="137">
        <f t="shared" si="60"/>
        <v>5737.2340877999995</v>
      </c>
    </row>
    <row r="239" spans="1:21" ht="15" outlineLevel="2">
      <c r="A239" s="6" t="s">
        <v>329</v>
      </c>
      <c r="B239" s="7" t="s">
        <v>73</v>
      </c>
      <c r="C239" s="7" t="s">
        <v>74</v>
      </c>
      <c r="D239" s="7" t="s">
        <v>330</v>
      </c>
      <c r="E239" s="42" t="s">
        <v>328</v>
      </c>
      <c r="F239" s="39" t="s">
        <v>53</v>
      </c>
      <c r="G239" s="24" t="s">
        <v>62</v>
      </c>
      <c r="H239" s="136">
        <v>3.2076673999999996</v>
      </c>
      <c r="I239" s="149">
        <v>7</v>
      </c>
      <c r="J239" s="136">
        <f>I239*$J$1</f>
        <v>0.7000000000000001</v>
      </c>
      <c r="K239" s="136">
        <v>0</v>
      </c>
      <c r="L239" s="139"/>
      <c r="M239" s="139"/>
      <c r="N239" s="136"/>
      <c r="O239" s="11"/>
      <c r="P239" s="136"/>
      <c r="Q239" s="140"/>
      <c r="R239" s="136"/>
      <c r="S239" s="136"/>
      <c r="T239" s="136"/>
      <c r="U239" s="136">
        <f aca="true" t="shared" si="61" ref="U239:U244">H239+J239+K239+N239+P239+R239+S239+T239</f>
        <v>3.9076674</v>
      </c>
    </row>
    <row r="240" spans="1:21" ht="15" outlineLevel="2">
      <c r="A240" s="6" t="s">
        <v>329</v>
      </c>
      <c r="B240" s="7" t="s">
        <v>73</v>
      </c>
      <c r="C240" s="7" t="s">
        <v>74</v>
      </c>
      <c r="D240" s="7" t="s">
        <v>330</v>
      </c>
      <c r="E240" s="42" t="s">
        <v>328</v>
      </c>
      <c r="F240" s="39" t="s">
        <v>53</v>
      </c>
      <c r="G240" s="24" t="s">
        <v>64</v>
      </c>
      <c r="H240" s="136">
        <v>10.9148774</v>
      </c>
      <c r="I240" s="149">
        <v>8</v>
      </c>
      <c r="J240" s="136">
        <f>I240*$J$2</f>
        <v>0.48</v>
      </c>
      <c r="K240" s="136">
        <v>45</v>
      </c>
      <c r="L240" s="139"/>
      <c r="M240" s="139"/>
      <c r="N240" s="136"/>
      <c r="O240" s="11"/>
      <c r="P240" s="136"/>
      <c r="Q240" s="140"/>
      <c r="R240" s="136"/>
      <c r="S240" s="136"/>
      <c r="T240" s="136"/>
      <c r="U240" s="136">
        <f t="shared" si="61"/>
        <v>56.3948774</v>
      </c>
    </row>
    <row r="241" spans="1:21" ht="15" outlineLevel="2">
      <c r="A241" s="6" t="s">
        <v>329</v>
      </c>
      <c r="B241" s="7" t="s">
        <v>73</v>
      </c>
      <c r="C241" s="7" t="s">
        <v>74</v>
      </c>
      <c r="D241" s="7" t="s">
        <v>330</v>
      </c>
      <c r="E241" s="42" t="s">
        <v>328</v>
      </c>
      <c r="F241" s="39" t="s">
        <v>53</v>
      </c>
      <c r="G241" s="24" t="s">
        <v>65</v>
      </c>
      <c r="H241" s="136">
        <v>8.871156000000001</v>
      </c>
      <c r="I241" s="149">
        <v>13</v>
      </c>
      <c r="J241" s="136">
        <f>I241*$J$2</f>
        <v>0.78</v>
      </c>
      <c r="K241" s="136">
        <v>105</v>
      </c>
      <c r="L241" s="139"/>
      <c r="M241" s="139"/>
      <c r="N241" s="136"/>
      <c r="O241" s="11"/>
      <c r="P241" s="136"/>
      <c r="Q241" s="140"/>
      <c r="R241" s="136"/>
      <c r="S241" s="136"/>
      <c r="T241" s="136"/>
      <c r="U241" s="136">
        <f t="shared" si="61"/>
        <v>114.651156</v>
      </c>
    </row>
    <row r="242" spans="1:21" ht="15" outlineLevel="2">
      <c r="A242" s="6" t="s">
        <v>329</v>
      </c>
      <c r="B242" s="7" t="s">
        <v>73</v>
      </c>
      <c r="C242" s="7" t="s">
        <v>74</v>
      </c>
      <c r="D242" s="7" t="s">
        <v>330</v>
      </c>
      <c r="E242" s="42" t="s">
        <v>328</v>
      </c>
      <c r="F242" s="39" t="s">
        <v>53</v>
      </c>
      <c r="G242" s="11" t="s">
        <v>66</v>
      </c>
      <c r="H242" s="136">
        <v>1.8224668</v>
      </c>
      <c r="I242" s="140">
        <v>2</v>
      </c>
      <c r="J242" s="136">
        <f>I242*$J$2</f>
        <v>0.12</v>
      </c>
      <c r="K242" s="136">
        <v>0</v>
      </c>
      <c r="L242" s="139"/>
      <c r="M242" s="139"/>
      <c r="N242" s="136"/>
      <c r="O242" s="11"/>
      <c r="P242" s="136"/>
      <c r="Q242" s="140"/>
      <c r="R242" s="136"/>
      <c r="S242" s="136"/>
      <c r="T242" s="136"/>
      <c r="U242" s="136">
        <f t="shared" si="61"/>
        <v>1.9424668</v>
      </c>
    </row>
    <row r="243" spans="1:21" ht="15" outlineLevel="2">
      <c r="A243" s="6" t="str">
        <f>A242</f>
        <v>M452</v>
      </c>
      <c r="B243" s="11" t="str">
        <f>B242</f>
        <v>DOH-ICS</v>
      </c>
      <c r="C243" s="11" t="str">
        <f>C242</f>
        <v>INTEGRATED CLINICAL SERVICES</v>
      </c>
      <c r="D243" s="13" t="str">
        <f>D242</f>
        <v>404565</v>
      </c>
      <c r="E243" s="24" t="str">
        <f>E242</f>
        <v>40-45</v>
      </c>
      <c r="F243" s="39" t="s">
        <v>585</v>
      </c>
      <c r="G243" s="24" t="s">
        <v>585</v>
      </c>
      <c r="H243" s="136"/>
      <c r="I243" s="140"/>
      <c r="J243" s="136"/>
      <c r="K243" s="136"/>
      <c r="L243" s="139">
        <v>1.74</v>
      </c>
      <c r="M243" s="139">
        <v>1</v>
      </c>
      <c r="N243" s="136">
        <f>L243*M243*$N$2</f>
        <v>5454.9</v>
      </c>
      <c r="O243" s="11"/>
      <c r="P243" s="136"/>
      <c r="Q243" s="140"/>
      <c r="R243" s="136"/>
      <c r="S243" s="136"/>
      <c r="T243" s="136"/>
      <c r="U243" s="136">
        <f t="shared" si="61"/>
        <v>5454.9</v>
      </c>
    </row>
    <row r="244" spans="1:21" ht="15" outlineLevel="2">
      <c r="A244" s="28" t="s">
        <v>329</v>
      </c>
      <c r="B244" s="11" t="str">
        <f>B243</f>
        <v>DOH-ICS</v>
      </c>
      <c r="C244" s="11" t="str">
        <f>C243</f>
        <v>INTEGRATED CLINICAL SERVICES</v>
      </c>
      <c r="D244" s="13" t="str">
        <f>D243</f>
        <v>404565</v>
      </c>
      <c r="E244" s="38" t="str">
        <f>E243</f>
        <v>40-45</v>
      </c>
      <c r="F244" s="20" t="s">
        <v>615</v>
      </c>
      <c r="G244" s="11" t="s">
        <v>615</v>
      </c>
      <c r="H244" s="136"/>
      <c r="I244" s="140"/>
      <c r="J244" s="136"/>
      <c r="K244" s="136"/>
      <c r="L244" s="139"/>
      <c r="M244" s="139"/>
      <c r="N244" s="136"/>
      <c r="O244" s="29">
        <v>0.5</v>
      </c>
      <c r="P244" s="136">
        <f>O244*$P$2</f>
        <v>36</v>
      </c>
      <c r="Q244" s="140"/>
      <c r="R244" s="136"/>
      <c r="S244" s="136"/>
      <c r="T244" s="136"/>
      <c r="U244" s="136">
        <f t="shared" si="61"/>
        <v>36</v>
      </c>
    </row>
    <row r="245" spans="1:21" s="5" customFormat="1" ht="15.75" outlineLevel="1">
      <c r="A245" s="1" t="s">
        <v>917</v>
      </c>
      <c r="B245" s="172"/>
      <c r="C245" s="2"/>
      <c r="D245" s="19"/>
      <c r="E245" s="44"/>
      <c r="F245" s="51"/>
      <c r="G245" s="2"/>
      <c r="H245" s="137">
        <f aca="true" t="shared" si="62" ref="H245:U245">SUBTOTAL(9,H239:H244)</f>
        <v>24.8161676</v>
      </c>
      <c r="I245" s="144">
        <f t="shared" si="62"/>
        <v>30</v>
      </c>
      <c r="J245" s="137">
        <f t="shared" si="62"/>
        <v>2.08</v>
      </c>
      <c r="K245" s="137">
        <f t="shared" si="62"/>
        <v>150</v>
      </c>
      <c r="L245" s="141">
        <f t="shared" si="62"/>
        <v>1.74</v>
      </c>
      <c r="M245" s="141">
        <f t="shared" si="62"/>
        <v>1</v>
      </c>
      <c r="N245" s="137">
        <f t="shared" si="62"/>
        <v>5454.9</v>
      </c>
      <c r="O245" s="45">
        <f t="shared" si="62"/>
        <v>0.5</v>
      </c>
      <c r="P245" s="137">
        <f t="shared" si="62"/>
        <v>36</v>
      </c>
      <c r="Q245" s="167">
        <f t="shared" si="62"/>
        <v>0</v>
      </c>
      <c r="R245" s="137">
        <f t="shared" si="62"/>
        <v>0</v>
      </c>
      <c r="S245" s="137">
        <f t="shared" si="62"/>
        <v>0</v>
      </c>
      <c r="T245" s="137">
        <f t="shared" si="62"/>
        <v>0</v>
      </c>
      <c r="U245" s="137">
        <f t="shared" si="62"/>
        <v>5667.7961675999995</v>
      </c>
    </row>
    <row r="246" spans="1:21" ht="15" outlineLevel="2">
      <c r="A246" s="6" t="s">
        <v>331</v>
      </c>
      <c r="B246" s="7" t="s">
        <v>73</v>
      </c>
      <c r="C246" s="7" t="s">
        <v>74</v>
      </c>
      <c r="D246" s="7" t="s">
        <v>332</v>
      </c>
      <c r="E246" s="42" t="s">
        <v>328</v>
      </c>
      <c r="F246" s="39" t="s">
        <v>53</v>
      </c>
      <c r="G246" s="24" t="s">
        <v>62</v>
      </c>
      <c r="H246" s="136">
        <v>20.684683599999996</v>
      </c>
      <c r="I246" s="149">
        <v>62</v>
      </c>
      <c r="J246" s="136">
        <f>I246*$J$1</f>
        <v>6.2</v>
      </c>
      <c r="K246" s="136">
        <v>60</v>
      </c>
      <c r="L246" s="139"/>
      <c r="M246" s="139"/>
      <c r="N246" s="136"/>
      <c r="O246" s="11"/>
      <c r="P246" s="136"/>
      <c r="Q246" s="140"/>
      <c r="R246" s="136"/>
      <c r="S246" s="136"/>
      <c r="T246" s="136"/>
      <c r="U246" s="136">
        <f>H246+J246+K246+N246+P246+R246+S246+T246</f>
        <v>86.88468359999999</v>
      </c>
    </row>
    <row r="247" spans="1:21" ht="15" outlineLevel="2">
      <c r="A247" s="6" t="s">
        <v>331</v>
      </c>
      <c r="B247" s="7" t="s">
        <v>73</v>
      </c>
      <c r="C247" s="7" t="s">
        <v>74</v>
      </c>
      <c r="D247" s="7" t="s">
        <v>332</v>
      </c>
      <c r="E247" s="42" t="s">
        <v>328</v>
      </c>
      <c r="F247" s="39" t="s">
        <v>53</v>
      </c>
      <c r="G247" s="24" t="s">
        <v>63</v>
      </c>
      <c r="H247" s="136">
        <v>2.768304</v>
      </c>
      <c r="I247" s="149">
        <v>2</v>
      </c>
      <c r="J247" s="136">
        <f>I247*$J$2</f>
        <v>0.12</v>
      </c>
      <c r="K247" s="136">
        <v>0</v>
      </c>
      <c r="L247" s="139"/>
      <c r="M247" s="139"/>
      <c r="N247" s="136"/>
      <c r="O247" s="11"/>
      <c r="P247" s="136"/>
      <c r="Q247" s="140"/>
      <c r="R247" s="136"/>
      <c r="S247" s="136"/>
      <c r="T247" s="136"/>
      <c r="U247" s="136">
        <f>H247+J247+K247+N247+P247+R247+S247+T247</f>
        <v>2.888304</v>
      </c>
    </row>
    <row r="248" spans="1:21" ht="15" outlineLevel="2">
      <c r="A248" s="6" t="s">
        <v>331</v>
      </c>
      <c r="B248" s="7" t="s">
        <v>73</v>
      </c>
      <c r="C248" s="7" t="s">
        <v>74</v>
      </c>
      <c r="D248" s="7" t="s">
        <v>332</v>
      </c>
      <c r="E248" s="42" t="s">
        <v>328</v>
      </c>
      <c r="F248" s="39" t="s">
        <v>53</v>
      </c>
      <c r="G248" s="24" t="s">
        <v>64</v>
      </c>
      <c r="H248" s="136">
        <v>7.382144</v>
      </c>
      <c r="I248" s="149">
        <v>2</v>
      </c>
      <c r="J248" s="136">
        <f>I248*$J$2</f>
        <v>0.12</v>
      </c>
      <c r="K248" s="136">
        <v>0</v>
      </c>
      <c r="L248" s="139"/>
      <c r="M248" s="139"/>
      <c r="N248" s="136"/>
      <c r="O248" s="11"/>
      <c r="P248" s="136"/>
      <c r="Q248" s="140"/>
      <c r="R248" s="136"/>
      <c r="S248" s="136"/>
      <c r="T248" s="136"/>
      <c r="U248" s="136">
        <f>H248+J248+K248+N248+P248+R248+S248+T248</f>
        <v>7.502144</v>
      </c>
    </row>
    <row r="249" spans="1:21" ht="15" outlineLevel="2">
      <c r="A249" s="6" t="s">
        <v>331</v>
      </c>
      <c r="B249" s="7" t="s">
        <v>73</v>
      </c>
      <c r="C249" s="7" t="s">
        <v>74</v>
      </c>
      <c r="D249" s="7" t="s">
        <v>332</v>
      </c>
      <c r="E249" s="42" t="s">
        <v>328</v>
      </c>
      <c r="F249" s="39" t="s">
        <v>53</v>
      </c>
      <c r="G249" s="24" t="s">
        <v>65</v>
      </c>
      <c r="H249" s="136">
        <v>21.013944</v>
      </c>
      <c r="I249" s="149">
        <v>41</v>
      </c>
      <c r="J249" s="136">
        <f>I249*$J$2</f>
        <v>2.46</v>
      </c>
      <c r="K249" s="136">
        <v>105</v>
      </c>
      <c r="L249" s="139"/>
      <c r="M249" s="139"/>
      <c r="N249" s="136"/>
      <c r="O249" s="11"/>
      <c r="P249" s="136"/>
      <c r="Q249" s="140"/>
      <c r="R249" s="136"/>
      <c r="S249" s="136"/>
      <c r="T249" s="136"/>
      <c r="U249" s="136">
        <f>H249+J249+K249+N249+P249+R249+S249+T249</f>
        <v>128.473944</v>
      </c>
    </row>
    <row r="250" spans="1:21" ht="15" outlineLevel="2">
      <c r="A250" s="6" t="str">
        <f>A249</f>
        <v>M453</v>
      </c>
      <c r="B250" s="11" t="str">
        <f>B249</f>
        <v>DOH-ICS</v>
      </c>
      <c r="C250" s="11" t="str">
        <f>C249</f>
        <v>INTEGRATED CLINICAL SERVICES</v>
      </c>
      <c r="D250" s="13" t="str">
        <f>D249</f>
        <v>404515</v>
      </c>
      <c r="E250" s="24" t="str">
        <f>E249</f>
        <v>40-45</v>
      </c>
      <c r="F250" s="39" t="s">
        <v>585</v>
      </c>
      <c r="G250" s="24" t="s">
        <v>585</v>
      </c>
      <c r="H250" s="136"/>
      <c r="I250" s="149"/>
      <c r="J250" s="136"/>
      <c r="K250" s="136"/>
      <c r="L250" s="139">
        <v>1.8</v>
      </c>
      <c r="M250" s="139">
        <v>1</v>
      </c>
      <c r="N250" s="136">
        <f>L250*M250*$N$2</f>
        <v>5643</v>
      </c>
      <c r="O250" s="11"/>
      <c r="P250" s="136"/>
      <c r="Q250" s="140"/>
      <c r="R250" s="136"/>
      <c r="S250" s="136"/>
      <c r="T250" s="136"/>
      <c r="U250" s="136">
        <f>H250+J250+K250+N250+P250+R250+S250+T250</f>
        <v>5643</v>
      </c>
    </row>
    <row r="251" spans="1:21" s="5" customFormat="1" ht="15.75" outlineLevel="1">
      <c r="A251" s="1" t="s">
        <v>918</v>
      </c>
      <c r="B251" s="172"/>
      <c r="C251" s="2"/>
      <c r="D251" s="19"/>
      <c r="E251" s="44"/>
      <c r="F251" s="51"/>
      <c r="G251" s="2"/>
      <c r="H251" s="137">
        <f aca="true" t="shared" si="63" ref="H251:U251">SUBTOTAL(9,H246:H250)</f>
        <v>51.84907559999999</v>
      </c>
      <c r="I251" s="144">
        <f t="shared" si="63"/>
        <v>107</v>
      </c>
      <c r="J251" s="137">
        <f t="shared" si="63"/>
        <v>8.9</v>
      </c>
      <c r="K251" s="137">
        <f t="shared" si="63"/>
        <v>165</v>
      </c>
      <c r="L251" s="141">
        <f t="shared" si="63"/>
        <v>1.8</v>
      </c>
      <c r="M251" s="141">
        <f t="shared" si="63"/>
        <v>1</v>
      </c>
      <c r="N251" s="137">
        <f t="shared" si="63"/>
        <v>5643</v>
      </c>
      <c r="O251" s="45">
        <f t="shared" si="63"/>
        <v>0</v>
      </c>
      <c r="P251" s="137">
        <f t="shared" si="63"/>
        <v>0</v>
      </c>
      <c r="Q251" s="167">
        <f t="shared" si="63"/>
        <v>0</v>
      </c>
      <c r="R251" s="137">
        <f t="shared" si="63"/>
        <v>0</v>
      </c>
      <c r="S251" s="137">
        <f t="shared" si="63"/>
        <v>0</v>
      </c>
      <c r="T251" s="137">
        <f t="shared" si="63"/>
        <v>0</v>
      </c>
      <c r="U251" s="137">
        <f t="shared" si="63"/>
        <v>5868.7490756</v>
      </c>
    </row>
    <row r="252" spans="1:21" ht="15" outlineLevel="2">
      <c r="A252" s="6" t="s">
        <v>333</v>
      </c>
      <c r="B252" s="7" t="s">
        <v>73</v>
      </c>
      <c r="C252" s="7" t="s">
        <v>74</v>
      </c>
      <c r="D252" s="7" t="s">
        <v>334</v>
      </c>
      <c r="E252" s="42" t="s">
        <v>328</v>
      </c>
      <c r="F252" s="39" t="s">
        <v>53</v>
      </c>
      <c r="G252" s="24" t="s">
        <v>62</v>
      </c>
      <c r="H252" s="136">
        <v>0.6669096</v>
      </c>
      <c r="I252" s="149">
        <v>2</v>
      </c>
      <c r="J252" s="136">
        <f>I252*$J$1</f>
        <v>0.2</v>
      </c>
      <c r="K252" s="136">
        <v>15</v>
      </c>
      <c r="L252" s="139"/>
      <c r="M252" s="139"/>
      <c r="N252" s="136"/>
      <c r="O252" s="11"/>
      <c r="P252" s="136"/>
      <c r="Q252" s="140"/>
      <c r="R252" s="136"/>
      <c r="S252" s="136"/>
      <c r="T252" s="136"/>
      <c r="U252" s="136">
        <f>H252+J252+K252+N252+P252+R252+S252+T252</f>
        <v>15.8669096</v>
      </c>
    </row>
    <row r="253" spans="1:21" ht="15" outlineLevel="2">
      <c r="A253" s="6" t="s">
        <v>333</v>
      </c>
      <c r="B253" s="7" t="s">
        <v>73</v>
      </c>
      <c r="C253" s="7" t="s">
        <v>74</v>
      </c>
      <c r="D253" s="7" t="s">
        <v>334</v>
      </c>
      <c r="E253" s="42" t="s">
        <v>328</v>
      </c>
      <c r="F253" s="39" t="s">
        <v>53</v>
      </c>
      <c r="G253" s="24" t="s">
        <v>64</v>
      </c>
      <c r="H253" s="136">
        <v>1.551928</v>
      </c>
      <c r="I253" s="149">
        <v>1</v>
      </c>
      <c r="J253" s="136">
        <f>I253*$J$2</f>
        <v>0.06</v>
      </c>
      <c r="K253" s="136">
        <v>0</v>
      </c>
      <c r="L253" s="139"/>
      <c r="M253" s="139"/>
      <c r="N253" s="136"/>
      <c r="O253" s="11"/>
      <c r="P253" s="136"/>
      <c r="Q253" s="140"/>
      <c r="R253" s="136"/>
      <c r="S253" s="136"/>
      <c r="T253" s="136"/>
      <c r="U253" s="136">
        <f>H253+J253+K253+N253+P253+R253+S253+T253</f>
        <v>1.611928</v>
      </c>
    </row>
    <row r="254" spans="1:21" ht="15" outlineLevel="2">
      <c r="A254" s="6" t="s">
        <v>333</v>
      </c>
      <c r="B254" s="7" t="s">
        <v>73</v>
      </c>
      <c r="C254" s="7" t="s">
        <v>74</v>
      </c>
      <c r="D254" s="7" t="s">
        <v>334</v>
      </c>
      <c r="E254" s="42" t="s">
        <v>328</v>
      </c>
      <c r="F254" s="39" t="s">
        <v>53</v>
      </c>
      <c r="G254" s="24" t="s">
        <v>65</v>
      </c>
      <c r="H254" s="136">
        <v>1.918938</v>
      </c>
      <c r="I254" s="149">
        <v>4</v>
      </c>
      <c r="J254" s="136">
        <f>I254*$J$2</f>
        <v>0.24</v>
      </c>
      <c r="K254" s="136">
        <v>45</v>
      </c>
      <c r="L254" s="139"/>
      <c r="M254" s="139"/>
      <c r="N254" s="136"/>
      <c r="O254" s="11"/>
      <c r="P254" s="136"/>
      <c r="Q254" s="140"/>
      <c r="R254" s="136"/>
      <c r="S254" s="136"/>
      <c r="T254" s="136"/>
      <c r="U254" s="136">
        <f>H254+J254+K254+N254+P254+R254+S254+T254</f>
        <v>47.158938</v>
      </c>
    </row>
    <row r="255" spans="1:21" ht="15" outlineLevel="2">
      <c r="A255" s="6" t="str">
        <f>A254</f>
        <v>M454</v>
      </c>
      <c r="B255" s="11" t="str">
        <f>B254</f>
        <v>DOH-ICS</v>
      </c>
      <c r="C255" s="11" t="str">
        <f>C254</f>
        <v>INTEGRATED CLINICAL SERVICES</v>
      </c>
      <c r="D255" s="13" t="str">
        <f>D254</f>
        <v>404535</v>
      </c>
      <c r="E255" s="24" t="str">
        <f>E254</f>
        <v>40-45</v>
      </c>
      <c r="F255" s="39" t="s">
        <v>585</v>
      </c>
      <c r="G255" s="24" t="s">
        <v>585</v>
      </c>
      <c r="H255" s="136"/>
      <c r="I255" s="149"/>
      <c r="J255" s="136"/>
      <c r="K255" s="136"/>
      <c r="L255" s="139">
        <v>1.74</v>
      </c>
      <c r="M255" s="139">
        <v>1</v>
      </c>
      <c r="N255" s="136">
        <f>L255*M255*$N$2</f>
        <v>5454.9</v>
      </c>
      <c r="O255" s="11"/>
      <c r="P255" s="136"/>
      <c r="Q255" s="140"/>
      <c r="R255" s="136"/>
      <c r="S255" s="136"/>
      <c r="T255" s="136"/>
      <c r="U255" s="136">
        <f>H255+J255+K255+N255+P255+R255+S255+T255</f>
        <v>5454.9</v>
      </c>
    </row>
    <row r="256" spans="1:21" s="5" customFormat="1" ht="15.75" outlineLevel="1">
      <c r="A256" s="1" t="s">
        <v>919</v>
      </c>
      <c r="B256" s="172"/>
      <c r="C256" s="2"/>
      <c r="D256" s="19"/>
      <c r="E256" s="44"/>
      <c r="F256" s="51"/>
      <c r="G256" s="2"/>
      <c r="H256" s="137">
        <f aca="true" t="shared" si="64" ref="H256:U256">SUBTOTAL(9,H252:H255)</f>
        <v>4.1377756</v>
      </c>
      <c r="I256" s="144">
        <f t="shared" si="64"/>
        <v>7</v>
      </c>
      <c r="J256" s="137">
        <f t="shared" si="64"/>
        <v>0.5</v>
      </c>
      <c r="K256" s="137">
        <f t="shared" si="64"/>
        <v>60</v>
      </c>
      <c r="L256" s="141">
        <f t="shared" si="64"/>
        <v>1.74</v>
      </c>
      <c r="M256" s="141">
        <f t="shared" si="64"/>
        <v>1</v>
      </c>
      <c r="N256" s="137">
        <f t="shared" si="64"/>
        <v>5454.9</v>
      </c>
      <c r="O256" s="45">
        <f t="shared" si="64"/>
        <v>0</v>
      </c>
      <c r="P256" s="137">
        <f t="shared" si="64"/>
        <v>0</v>
      </c>
      <c r="Q256" s="167">
        <f t="shared" si="64"/>
        <v>0</v>
      </c>
      <c r="R256" s="137">
        <f t="shared" si="64"/>
        <v>0</v>
      </c>
      <c r="S256" s="137">
        <f t="shared" si="64"/>
        <v>0</v>
      </c>
      <c r="T256" s="137">
        <f t="shared" si="64"/>
        <v>0</v>
      </c>
      <c r="U256" s="137">
        <f t="shared" si="64"/>
        <v>5519.5377756</v>
      </c>
    </row>
    <row r="257" spans="1:21" ht="15" outlineLevel="2">
      <c r="A257" s="6" t="s">
        <v>335</v>
      </c>
      <c r="B257" s="7" t="s">
        <v>73</v>
      </c>
      <c r="C257" s="7" t="s">
        <v>74</v>
      </c>
      <c r="D257" s="7" t="s">
        <v>336</v>
      </c>
      <c r="E257" s="42" t="s">
        <v>328</v>
      </c>
      <c r="F257" s="39" t="s">
        <v>53</v>
      </c>
      <c r="G257" s="24" t="s">
        <v>62</v>
      </c>
      <c r="H257" s="136">
        <v>19.9695384</v>
      </c>
      <c r="I257" s="149">
        <v>61</v>
      </c>
      <c r="J257" s="136">
        <f>I257*$J$1</f>
        <v>6.1000000000000005</v>
      </c>
      <c r="K257" s="136">
        <v>60</v>
      </c>
      <c r="L257" s="139"/>
      <c r="M257" s="139"/>
      <c r="N257" s="136"/>
      <c r="O257" s="11"/>
      <c r="P257" s="136"/>
      <c r="Q257" s="140"/>
      <c r="R257" s="136"/>
      <c r="S257" s="136"/>
      <c r="T257" s="136"/>
      <c r="U257" s="136">
        <f>H257+J257+K257+N257+P257+R257+S257+T257</f>
        <v>86.0695384</v>
      </c>
    </row>
    <row r="258" spans="1:21" ht="15" outlineLevel="2">
      <c r="A258" s="6" t="s">
        <v>335</v>
      </c>
      <c r="B258" s="7" t="s">
        <v>73</v>
      </c>
      <c r="C258" s="7" t="s">
        <v>74</v>
      </c>
      <c r="D258" s="7" t="s">
        <v>336</v>
      </c>
      <c r="E258" s="42" t="s">
        <v>328</v>
      </c>
      <c r="F258" s="39" t="s">
        <v>53</v>
      </c>
      <c r="G258" s="11" t="s">
        <v>64</v>
      </c>
      <c r="H258" s="136">
        <v>1.876994</v>
      </c>
      <c r="I258" s="140">
        <v>3</v>
      </c>
      <c r="J258" s="136">
        <f>I258*$J$2</f>
        <v>0.18</v>
      </c>
      <c r="K258" s="136">
        <v>15</v>
      </c>
      <c r="L258" s="139"/>
      <c r="M258" s="139"/>
      <c r="N258" s="136"/>
      <c r="O258" s="11"/>
      <c r="P258" s="136"/>
      <c r="Q258" s="140"/>
      <c r="R258" s="136"/>
      <c r="S258" s="136"/>
      <c r="T258" s="136"/>
      <c r="U258" s="136">
        <f>H258+J258+K258+N258+P258+R258+S258+T258</f>
        <v>17.056994</v>
      </c>
    </row>
    <row r="259" spans="1:21" ht="15" outlineLevel="2">
      <c r="A259" s="6" t="s">
        <v>335</v>
      </c>
      <c r="B259" s="7" t="s">
        <v>73</v>
      </c>
      <c r="C259" s="7" t="s">
        <v>74</v>
      </c>
      <c r="D259" s="7" t="s">
        <v>336</v>
      </c>
      <c r="E259" s="42" t="s">
        <v>328</v>
      </c>
      <c r="F259" s="39" t="s">
        <v>53</v>
      </c>
      <c r="G259" s="24" t="s">
        <v>65</v>
      </c>
      <c r="H259" s="136">
        <v>20.667906000000002</v>
      </c>
      <c r="I259" s="149">
        <v>32</v>
      </c>
      <c r="J259" s="136">
        <f>I259*$J$2</f>
        <v>1.92</v>
      </c>
      <c r="K259" s="136">
        <v>90</v>
      </c>
      <c r="L259" s="139"/>
      <c r="M259" s="139"/>
      <c r="N259" s="136"/>
      <c r="O259" s="11"/>
      <c r="P259" s="136"/>
      <c r="Q259" s="140"/>
      <c r="R259" s="136"/>
      <c r="S259" s="136"/>
      <c r="T259" s="136"/>
      <c r="U259" s="136">
        <f>H259+J259+K259+N259+P259+R259+S259+T259</f>
        <v>112.587906</v>
      </c>
    </row>
    <row r="260" spans="1:21" ht="15" outlineLevel="2">
      <c r="A260" s="6" t="s">
        <v>335</v>
      </c>
      <c r="B260" s="7" t="s">
        <v>73</v>
      </c>
      <c r="C260" s="7" t="s">
        <v>74</v>
      </c>
      <c r="D260" s="7" t="s">
        <v>336</v>
      </c>
      <c r="E260" s="42" t="s">
        <v>328</v>
      </c>
      <c r="F260" s="39" t="s">
        <v>53</v>
      </c>
      <c r="G260" s="24" t="s">
        <v>66</v>
      </c>
      <c r="H260" s="136">
        <v>0.9112334</v>
      </c>
      <c r="I260" s="149">
        <v>1</v>
      </c>
      <c r="J260" s="136">
        <f>I260*$J$2</f>
        <v>0.06</v>
      </c>
      <c r="K260" s="136">
        <v>15</v>
      </c>
      <c r="L260" s="139"/>
      <c r="M260" s="139"/>
      <c r="N260" s="136"/>
      <c r="O260" s="11"/>
      <c r="P260" s="136"/>
      <c r="Q260" s="140"/>
      <c r="R260" s="136"/>
      <c r="S260" s="136"/>
      <c r="T260" s="136"/>
      <c r="U260" s="136">
        <f>H260+J260+K260+N260+P260+R260+S260+T260</f>
        <v>15.9712334</v>
      </c>
    </row>
    <row r="261" spans="1:21" ht="15" outlineLevel="2">
      <c r="A261" s="6" t="str">
        <f>A260</f>
        <v>M455</v>
      </c>
      <c r="B261" s="11" t="str">
        <f>B260</f>
        <v>DOH-ICS</v>
      </c>
      <c r="C261" s="11" t="str">
        <f>C260</f>
        <v>INTEGRATED CLINICAL SERVICES</v>
      </c>
      <c r="D261" s="13" t="str">
        <f>D260</f>
        <v>404545</v>
      </c>
      <c r="E261" s="24" t="str">
        <f>E260</f>
        <v>40-45</v>
      </c>
      <c r="F261" s="39" t="s">
        <v>585</v>
      </c>
      <c r="G261" s="24" t="s">
        <v>585</v>
      </c>
      <c r="H261" s="136"/>
      <c r="I261" s="149"/>
      <c r="J261" s="136"/>
      <c r="K261" s="136"/>
      <c r="L261" s="139">
        <v>1.84</v>
      </c>
      <c r="M261" s="139">
        <v>1</v>
      </c>
      <c r="N261" s="136">
        <f>L261*M261*$N$2</f>
        <v>5768.400000000001</v>
      </c>
      <c r="O261" s="11"/>
      <c r="P261" s="136"/>
      <c r="Q261" s="140"/>
      <c r="R261" s="136"/>
      <c r="S261" s="136"/>
      <c r="T261" s="136"/>
      <c r="U261" s="136">
        <f>H261+J261+K261+N261+P261+R261+S261+T261</f>
        <v>5768.400000000001</v>
      </c>
    </row>
    <row r="262" spans="1:21" s="5" customFormat="1" ht="15.75" outlineLevel="1">
      <c r="A262" s="1" t="s">
        <v>920</v>
      </c>
      <c r="B262" s="172"/>
      <c r="C262" s="2"/>
      <c r="D262" s="19"/>
      <c r="E262" s="44"/>
      <c r="F262" s="51"/>
      <c r="G262" s="2"/>
      <c r="H262" s="137">
        <f aca="true" t="shared" si="65" ref="H262:U262">SUBTOTAL(9,H257:H261)</f>
        <v>43.4256718</v>
      </c>
      <c r="I262" s="144">
        <f t="shared" si="65"/>
        <v>97</v>
      </c>
      <c r="J262" s="137">
        <f t="shared" si="65"/>
        <v>8.26</v>
      </c>
      <c r="K262" s="137">
        <f t="shared" si="65"/>
        <v>180</v>
      </c>
      <c r="L262" s="141">
        <f t="shared" si="65"/>
        <v>1.84</v>
      </c>
      <c r="M262" s="141">
        <f t="shared" si="65"/>
        <v>1</v>
      </c>
      <c r="N262" s="137">
        <f t="shared" si="65"/>
        <v>5768.400000000001</v>
      </c>
      <c r="O262" s="45">
        <f t="shared" si="65"/>
        <v>0</v>
      </c>
      <c r="P262" s="137">
        <f t="shared" si="65"/>
        <v>0</v>
      </c>
      <c r="Q262" s="167">
        <f t="shared" si="65"/>
        <v>0</v>
      </c>
      <c r="R262" s="137">
        <f t="shared" si="65"/>
        <v>0</v>
      </c>
      <c r="S262" s="137">
        <f t="shared" si="65"/>
        <v>0</v>
      </c>
      <c r="T262" s="137">
        <f t="shared" si="65"/>
        <v>0</v>
      </c>
      <c r="U262" s="137">
        <f t="shared" si="65"/>
        <v>6000.0856718000005</v>
      </c>
    </row>
    <row r="263" spans="1:21" ht="15" outlineLevel="2">
      <c r="A263" s="6" t="s">
        <v>337</v>
      </c>
      <c r="B263" s="7" t="s">
        <v>73</v>
      </c>
      <c r="C263" s="7" t="s">
        <v>74</v>
      </c>
      <c r="D263" s="7" t="s">
        <v>338</v>
      </c>
      <c r="E263" s="42" t="s">
        <v>328</v>
      </c>
      <c r="F263" s="39" t="s">
        <v>53</v>
      </c>
      <c r="G263" s="24" t="s">
        <v>62</v>
      </c>
      <c r="H263" s="136">
        <v>8.1140668</v>
      </c>
      <c r="I263" s="149">
        <v>24</v>
      </c>
      <c r="J263" s="136">
        <f>I263*$J$1</f>
        <v>2.4000000000000004</v>
      </c>
      <c r="K263" s="136">
        <v>60</v>
      </c>
      <c r="L263" s="139"/>
      <c r="M263" s="139"/>
      <c r="N263" s="136"/>
      <c r="O263" s="11"/>
      <c r="P263" s="136"/>
      <c r="Q263" s="140"/>
      <c r="R263" s="136"/>
      <c r="S263" s="136"/>
      <c r="T263" s="136"/>
      <c r="U263" s="136">
        <f>H263+J263+K263+N263+P263+R263+S263+T263</f>
        <v>70.5140668</v>
      </c>
    </row>
    <row r="264" spans="1:21" ht="15" outlineLevel="2">
      <c r="A264" s="6" t="s">
        <v>337</v>
      </c>
      <c r="B264" s="7" t="s">
        <v>73</v>
      </c>
      <c r="C264" s="7" t="s">
        <v>74</v>
      </c>
      <c r="D264" s="7" t="s">
        <v>338</v>
      </c>
      <c r="E264" s="42" t="s">
        <v>328</v>
      </c>
      <c r="F264" s="39" t="s">
        <v>53</v>
      </c>
      <c r="G264" s="24" t="s">
        <v>63</v>
      </c>
      <c r="H264" s="136">
        <v>6.899788</v>
      </c>
      <c r="I264" s="149">
        <v>2</v>
      </c>
      <c r="J264" s="136">
        <f>I264*$J$2</f>
        <v>0.12</v>
      </c>
      <c r="K264" s="136">
        <v>0</v>
      </c>
      <c r="L264" s="139"/>
      <c r="M264" s="139"/>
      <c r="N264" s="136"/>
      <c r="O264" s="11"/>
      <c r="P264" s="136"/>
      <c r="Q264" s="140"/>
      <c r="R264" s="136"/>
      <c r="S264" s="136"/>
      <c r="T264" s="136"/>
      <c r="U264" s="136">
        <f>H264+J264+K264+N264+P264+R264+S264+T264</f>
        <v>7.019788</v>
      </c>
    </row>
    <row r="265" spans="1:21" ht="15" outlineLevel="2">
      <c r="A265" s="6" t="s">
        <v>337</v>
      </c>
      <c r="B265" s="7" t="s">
        <v>73</v>
      </c>
      <c r="C265" s="7" t="s">
        <v>74</v>
      </c>
      <c r="D265" s="7" t="s">
        <v>338</v>
      </c>
      <c r="E265" s="42" t="s">
        <v>328</v>
      </c>
      <c r="F265" s="39" t="s">
        <v>53</v>
      </c>
      <c r="G265" s="11" t="s">
        <v>64</v>
      </c>
      <c r="H265" s="136">
        <v>0.608188</v>
      </c>
      <c r="I265" s="140">
        <v>1</v>
      </c>
      <c r="J265" s="136">
        <f>I265*$J$2</f>
        <v>0.06</v>
      </c>
      <c r="K265" s="136">
        <v>0</v>
      </c>
      <c r="L265" s="139"/>
      <c r="M265" s="139"/>
      <c r="N265" s="136"/>
      <c r="O265" s="11"/>
      <c r="P265" s="136"/>
      <c r="Q265" s="140"/>
      <c r="R265" s="136"/>
      <c r="S265" s="136"/>
      <c r="T265" s="136"/>
      <c r="U265" s="136">
        <f>H265+J265+K265+N265+P265+R265+S265+T265</f>
        <v>0.668188</v>
      </c>
    </row>
    <row r="266" spans="1:21" ht="15" outlineLevel="2">
      <c r="A266" s="6" t="s">
        <v>337</v>
      </c>
      <c r="B266" s="7" t="s">
        <v>73</v>
      </c>
      <c r="C266" s="7" t="s">
        <v>74</v>
      </c>
      <c r="D266" s="7" t="s">
        <v>338</v>
      </c>
      <c r="E266" s="42" t="s">
        <v>328</v>
      </c>
      <c r="F266" s="39" t="s">
        <v>53</v>
      </c>
      <c r="G266" s="24" t="s">
        <v>65</v>
      </c>
      <c r="H266" s="136">
        <v>9.038931999999999</v>
      </c>
      <c r="I266" s="149">
        <v>20</v>
      </c>
      <c r="J266" s="136">
        <f>I266*$J$2</f>
        <v>1.2</v>
      </c>
      <c r="K266" s="136">
        <v>75</v>
      </c>
      <c r="L266" s="139"/>
      <c r="M266" s="139"/>
      <c r="N266" s="136"/>
      <c r="O266" s="11"/>
      <c r="P266" s="136"/>
      <c r="Q266" s="140"/>
      <c r="R266" s="136"/>
      <c r="S266" s="136"/>
      <c r="T266" s="136"/>
      <c r="U266" s="136">
        <f>H266+J266+K266+N266+P266+R266+S266+T266</f>
        <v>85.238932</v>
      </c>
    </row>
    <row r="267" spans="1:21" ht="15" outlineLevel="2">
      <c r="A267" s="6" t="str">
        <f>A266</f>
        <v>M456</v>
      </c>
      <c r="B267" s="11" t="str">
        <f>B266</f>
        <v>DOH-ICS</v>
      </c>
      <c r="C267" s="11" t="str">
        <f>C266</f>
        <v>INTEGRATED CLINICAL SERVICES</v>
      </c>
      <c r="D267" s="13" t="str">
        <f>D266</f>
        <v>404530</v>
      </c>
      <c r="E267" s="24" t="str">
        <f>E266</f>
        <v>40-45</v>
      </c>
      <c r="F267" s="39" t="s">
        <v>585</v>
      </c>
      <c r="G267" s="24" t="s">
        <v>585</v>
      </c>
      <c r="H267" s="136"/>
      <c r="I267" s="149"/>
      <c r="J267" s="136"/>
      <c r="K267" s="136"/>
      <c r="L267" s="139">
        <v>1.74</v>
      </c>
      <c r="M267" s="139">
        <v>1</v>
      </c>
      <c r="N267" s="136">
        <f>L267*M267*$N$2</f>
        <v>5454.9</v>
      </c>
      <c r="O267" s="11"/>
      <c r="P267" s="136"/>
      <c r="Q267" s="140"/>
      <c r="R267" s="136"/>
      <c r="S267" s="136"/>
      <c r="T267" s="136"/>
      <c r="U267" s="136">
        <f>H267+J267+K267+N267+P267+R267+S267+T267</f>
        <v>5454.9</v>
      </c>
    </row>
    <row r="268" spans="1:21" s="5" customFormat="1" ht="15.75" outlineLevel="1">
      <c r="A268" s="1" t="s">
        <v>921</v>
      </c>
      <c r="B268" s="172"/>
      <c r="C268" s="2"/>
      <c r="D268" s="19"/>
      <c r="E268" s="44"/>
      <c r="F268" s="51"/>
      <c r="G268" s="2"/>
      <c r="H268" s="137">
        <f aca="true" t="shared" si="66" ref="H268:U268">SUBTOTAL(9,H263:H267)</f>
        <v>24.660974799999998</v>
      </c>
      <c r="I268" s="144">
        <f t="shared" si="66"/>
        <v>47</v>
      </c>
      <c r="J268" s="137">
        <f t="shared" si="66"/>
        <v>3.7800000000000002</v>
      </c>
      <c r="K268" s="137">
        <f t="shared" si="66"/>
        <v>135</v>
      </c>
      <c r="L268" s="141">
        <f t="shared" si="66"/>
        <v>1.74</v>
      </c>
      <c r="M268" s="141">
        <f t="shared" si="66"/>
        <v>1</v>
      </c>
      <c r="N268" s="137">
        <f t="shared" si="66"/>
        <v>5454.9</v>
      </c>
      <c r="O268" s="45">
        <f t="shared" si="66"/>
        <v>0</v>
      </c>
      <c r="P268" s="137">
        <f t="shared" si="66"/>
        <v>0</v>
      </c>
      <c r="Q268" s="167">
        <f t="shared" si="66"/>
        <v>0</v>
      </c>
      <c r="R268" s="137">
        <f t="shared" si="66"/>
        <v>0</v>
      </c>
      <c r="S268" s="137">
        <f t="shared" si="66"/>
        <v>0</v>
      </c>
      <c r="T268" s="137">
        <f t="shared" si="66"/>
        <v>0</v>
      </c>
      <c r="U268" s="137">
        <f t="shared" si="66"/>
        <v>5618.3409747999995</v>
      </c>
    </row>
    <row r="269" spans="1:21" ht="15" outlineLevel="2">
      <c r="A269" s="6" t="s">
        <v>339</v>
      </c>
      <c r="B269" s="7" t="s">
        <v>73</v>
      </c>
      <c r="C269" s="7" t="s">
        <v>74</v>
      </c>
      <c r="D269" s="7" t="s">
        <v>340</v>
      </c>
      <c r="E269" s="42" t="s">
        <v>328</v>
      </c>
      <c r="F269" s="39" t="s">
        <v>53</v>
      </c>
      <c r="G269" s="24" t="s">
        <v>62</v>
      </c>
      <c r="H269" s="136">
        <v>4.540438</v>
      </c>
      <c r="I269" s="149">
        <v>13</v>
      </c>
      <c r="J269" s="136">
        <f>I269*$J$1</f>
        <v>1.3</v>
      </c>
      <c r="K269" s="136">
        <v>75</v>
      </c>
      <c r="L269" s="139"/>
      <c r="M269" s="139"/>
      <c r="N269" s="136"/>
      <c r="O269" s="11"/>
      <c r="P269" s="136"/>
      <c r="Q269" s="140"/>
      <c r="R269" s="136"/>
      <c r="S269" s="136"/>
      <c r="T269" s="136"/>
      <c r="U269" s="136">
        <f>H269+J269+K269+N269+P269+R269+S269+T269</f>
        <v>80.840438</v>
      </c>
    </row>
    <row r="270" spans="1:21" ht="15" outlineLevel="2">
      <c r="A270" s="6" t="s">
        <v>339</v>
      </c>
      <c r="B270" s="7" t="s">
        <v>73</v>
      </c>
      <c r="C270" s="7" t="s">
        <v>74</v>
      </c>
      <c r="D270" s="7" t="s">
        <v>340</v>
      </c>
      <c r="E270" s="42" t="s">
        <v>328</v>
      </c>
      <c r="F270" s="39" t="s">
        <v>53</v>
      </c>
      <c r="G270" s="24" t="s">
        <v>64</v>
      </c>
      <c r="H270" s="136">
        <v>5.1580634000000005</v>
      </c>
      <c r="I270" s="149">
        <v>5</v>
      </c>
      <c r="J270" s="136">
        <f>I270*$J$2</f>
        <v>0.3</v>
      </c>
      <c r="K270" s="136">
        <v>15</v>
      </c>
      <c r="L270" s="139"/>
      <c r="M270" s="139"/>
      <c r="N270" s="136"/>
      <c r="O270" s="11"/>
      <c r="P270" s="136"/>
      <c r="Q270" s="140"/>
      <c r="R270" s="136"/>
      <c r="S270" s="136"/>
      <c r="T270" s="136"/>
      <c r="U270" s="136">
        <f>H270+J270+K270+N270+P270+R270+S270+T270</f>
        <v>20.4580634</v>
      </c>
    </row>
    <row r="271" spans="1:21" ht="15" outlineLevel="2">
      <c r="A271" s="6" t="s">
        <v>339</v>
      </c>
      <c r="B271" s="7" t="s">
        <v>73</v>
      </c>
      <c r="C271" s="7" t="s">
        <v>74</v>
      </c>
      <c r="D271" s="7" t="s">
        <v>340</v>
      </c>
      <c r="E271" s="42" t="s">
        <v>328</v>
      </c>
      <c r="F271" s="39" t="s">
        <v>53</v>
      </c>
      <c r="G271" s="24" t="s">
        <v>65</v>
      </c>
      <c r="H271" s="136">
        <v>26.823188</v>
      </c>
      <c r="I271" s="149">
        <v>45</v>
      </c>
      <c r="J271" s="136">
        <f>I271*$J$2</f>
        <v>2.6999999999999997</v>
      </c>
      <c r="K271" s="136">
        <v>90</v>
      </c>
      <c r="L271" s="139"/>
      <c r="M271" s="139"/>
      <c r="N271" s="136"/>
      <c r="O271" s="11"/>
      <c r="P271" s="136"/>
      <c r="Q271" s="140"/>
      <c r="R271" s="136"/>
      <c r="S271" s="136"/>
      <c r="T271" s="136"/>
      <c r="U271" s="136">
        <f>H271+J271+K271+N271+P271+R271+S271+T271</f>
        <v>119.523188</v>
      </c>
    </row>
    <row r="272" spans="1:21" ht="15" outlineLevel="2">
      <c r="A272" s="6" t="str">
        <f>A271</f>
        <v>M457</v>
      </c>
      <c r="B272" s="11" t="str">
        <f>B271</f>
        <v>DOH-ICS</v>
      </c>
      <c r="C272" s="11" t="str">
        <f>C271</f>
        <v>INTEGRATED CLINICAL SERVICES</v>
      </c>
      <c r="D272" s="13" t="str">
        <f>D271</f>
        <v>404510</v>
      </c>
      <c r="E272" s="24" t="str">
        <f>E271</f>
        <v>40-45</v>
      </c>
      <c r="F272" s="39" t="s">
        <v>585</v>
      </c>
      <c r="G272" s="24" t="s">
        <v>585</v>
      </c>
      <c r="H272" s="136"/>
      <c r="I272" s="149"/>
      <c r="J272" s="136"/>
      <c r="K272" s="136"/>
      <c r="L272" s="139">
        <v>1.9</v>
      </c>
      <c r="M272" s="139">
        <v>1</v>
      </c>
      <c r="N272" s="136">
        <f>L272*M272*$N$2</f>
        <v>5956.5</v>
      </c>
      <c r="O272" s="11"/>
      <c r="P272" s="136"/>
      <c r="Q272" s="140"/>
      <c r="R272" s="136"/>
      <c r="S272" s="136"/>
      <c r="T272" s="136"/>
      <c r="U272" s="136">
        <f>H272+J272+K272+N272+P272+R272+S272+T272</f>
        <v>5956.5</v>
      </c>
    </row>
    <row r="273" spans="1:21" s="5" customFormat="1" ht="15.75" outlineLevel="1">
      <c r="A273" s="1" t="s">
        <v>922</v>
      </c>
      <c r="B273" s="172"/>
      <c r="C273" s="2"/>
      <c r="D273" s="19"/>
      <c r="E273" s="44"/>
      <c r="F273" s="51"/>
      <c r="G273" s="2"/>
      <c r="H273" s="137">
        <f aca="true" t="shared" si="67" ref="H273:U273">SUBTOTAL(9,H269:H272)</f>
        <v>36.5216894</v>
      </c>
      <c r="I273" s="144">
        <f t="shared" si="67"/>
        <v>63</v>
      </c>
      <c r="J273" s="137">
        <f t="shared" si="67"/>
        <v>4.3</v>
      </c>
      <c r="K273" s="137">
        <f t="shared" si="67"/>
        <v>180</v>
      </c>
      <c r="L273" s="141">
        <f t="shared" si="67"/>
        <v>1.9</v>
      </c>
      <c r="M273" s="141">
        <f t="shared" si="67"/>
        <v>1</v>
      </c>
      <c r="N273" s="137">
        <f t="shared" si="67"/>
        <v>5956.5</v>
      </c>
      <c r="O273" s="45">
        <f t="shared" si="67"/>
        <v>0</v>
      </c>
      <c r="P273" s="137">
        <f t="shared" si="67"/>
        <v>0</v>
      </c>
      <c r="Q273" s="167">
        <f t="shared" si="67"/>
        <v>0</v>
      </c>
      <c r="R273" s="137">
        <f t="shared" si="67"/>
        <v>0</v>
      </c>
      <c r="S273" s="137">
        <f t="shared" si="67"/>
        <v>0</v>
      </c>
      <c r="T273" s="137">
        <f t="shared" si="67"/>
        <v>0</v>
      </c>
      <c r="U273" s="137">
        <f t="shared" si="67"/>
        <v>6177.3216894</v>
      </c>
    </row>
    <row r="274" spans="1:21" ht="15" outlineLevel="2">
      <c r="A274" s="6" t="s">
        <v>341</v>
      </c>
      <c r="B274" s="7" t="s">
        <v>73</v>
      </c>
      <c r="C274" s="7" t="s">
        <v>74</v>
      </c>
      <c r="D274" s="7" t="s">
        <v>342</v>
      </c>
      <c r="E274" s="42" t="s">
        <v>328</v>
      </c>
      <c r="F274" s="39" t="s">
        <v>53</v>
      </c>
      <c r="G274" s="24" t="s">
        <v>62</v>
      </c>
      <c r="H274" s="136">
        <v>5.3656862</v>
      </c>
      <c r="I274" s="149">
        <v>16</v>
      </c>
      <c r="J274" s="136">
        <f>I274*$J$1</f>
        <v>1.6</v>
      </c>
      <c r="K274" s="136">
        <v>45</v>
      </c>
      <c r="L274" s="139"/>
      <c r="M274" s="139"/>
      <c r="N274" s="136"/>
      <c r="O274" s="11"/>
      <c r="P274" s="136"/>
      <c r="Q274" s="140"/>
      <c r="R274" s="136"/>
      <c r="S274" s="136"/>
      <c r="T274" s="136"/>
      <c r="U274" s="136">
        <f>H274+J274+K274+N274+P274+R274+S274+T274</f>
        <v>51.9656862</v>
      </c>
    </row>
    <row r="275" spans="1:21" ht="15" outlineLevel="2">
      <c r="A275" s="6" t="s">
        <v>341</v>
      </c>
      <c r="B275" s="7" t="s">
        <v>73</v>
      </c>
      <c r="C275" s="7" t="s">
        <v>74</v>
      </c>
      <c r="D275" s="7" t="s">
        <v>342</v>
      </c>
      <c r="E275" s="42" t="s">
        <v>328</v>
      </c>
      <c r="F275" s="39" t="s">
        <v>53</v>
      </c>
      <c r="G275" s="24" t="s">
        <v>64</v>
      </c>
      <c r="H275" s="136">
        <v>3.229688</v>
      </c>
      <c r="I275" s="149">
        <v>4</v>
      </c>
      <c r="J275" s="136">
        <f>I275*$J$2</f>
        <v>0.24</v>
      </c>
      <c r="K275" s="136">
        <v>0</v>
      </c>
      <c r="L275" s="139"/>
      <c r="M275" s="139"/>
      <c r="N275" s="136"/>
      <c r="O275" s="11"/>
      <c r="P275" s="136"/>
      <c r="Q275" s="140"/>
      <c r="R275" s="136"/>
      <c r="S275" s="136"/>
      <c r="T275" s="136"/>
      <c r="U275" s="136">
        <f>H275+J275+K275+N275+P275+R275+S275+T275</f>
        <v>3.4696879999999997</v>
      </c>
    </row>
    <row r="276" spans="1:21" ht="15" outlineLevel="2">
      <c r="A276" s="6" t="s">
        <v>341</v>
      </c>
      <c r="B276" s="7" t="s">
        <v>73</v>
      </c>
      <c r="C276" s="7" t="s">
        <v>74</v>
      </c>
      <c r="D276" s="7" t="s">
        <v>342</v>
      </c>
      <c r="E276" s="42" t="s">
        <v>328</v>
      </c>
      <c r="F276" s="39" t="s">
        <v>53</v>
      </c>
      <c r="G276" s="24" t="s">
        <v>65</v>
      </c>
      <c r="H276" s="136">
        <v>18.224667999999998</v>
      </c>
      <c r="I276" s="149">
        <v>39</v>
      </c>
      <c r="J276" s="136">
        <f>I276*$J$2</f>
        <v>2.34</v>
      </c>
      <c r="K276" s="136">
        <v>105</v>
      </c>
      <c r="L276" s="139"/>
      <c r="M276" s="139"/>
      <c r="N276" s="136"/>
      <c r="O276" s="11"/>
      <c r="P276" s="136"/>
      <c r="Q276" s="140"/>
      <c r="R276" s="136"/>
      <c r="S276" s="136"/>
      <c r="T276" s="136"/>
      <c r="U276" s="136">
        <f>H276+J276+K276+N276+P276+R276+S276+T276</f>
        <v>125.564668</v>
      </c>
    </row>
    <row r="277" spans="1:21" ht="15" outlineLevel="2">
      <c r="A277" s="6" t="str">
        <f>A276</f>
        <v>M458</v>
      </c>
      <c r="B277" s="11" t="str">
        <f>B276</f>
        <v>DOH-ICS</v>
      </c>
      <c r="C277" s="11" t="str">
        <f>C276</f>
        <v>INTEGRATED CLINICAL SERVICES</v>
      </c>
      <c r="D277" s="13" t="str">
        <f>D276</f>
        <v>404505</v>
      </c>
      <c r="E277" s="24" t="str">
        <f>E276</f>
        <v>40-45</v>
      </c>
      <c r="F277" s="39" t="s">
        <v>585</v>
      </c>
      <c r="G277" s="24" t="s">
        <v>585</v>
      </c>
      <c r="H277" s="136"/>
      <c r="I277" s="149"/>
      <c r="J277" s="136"/>
      <c r="K277" s="136"/>
      <c r="L277" s="139">
        <v>1.04</v>
      </c>
      <c r="M277" s="139">
        <v>1</v>
      </c>
      <c r="N277" s="136">
        <f>L277*M277*$N$2</f>
        <v>3260.4</v>
      </c>
      <c r="O277" s="11"/>
      <c r="P277" s="136"/>
      <c r="Q277" s="140"/>
      <c r="R277" s="136"/>
      <c r="S277" s="136"/>
      <c r="T277" s="136"/>
      <c r="U277" s="136">
        <f>H277+J277+K277+N277+P277+R277+S277+T277</f>
        <v>3260.4</v>
      </c>
    </row>
    <row r="278" spans="1:21" s="5" customFormat="1" ht="15.75" outlineLevel="1">
      <c r="A278" s="1" t="s">
        <v>923</v>
      </c>
      <c r="B278" s="172"/>
      <c r="C278" s="2"/>
      <c r="D278" s="19"/>
      <c r="E278" s="44"/>
      <c r="F278" s="51"/>
      <c r="G278" s="2"/>
      <c r="H278" s="137">
        <f aca="true" t="shared" si="68" ref="H278:U278">SUBTOTAL(9,H274:H277)</f>
        <v>26.820042199999996</v>
      </c>
      <c r="I278" s="144">
        <f t="shared" si="68"/>
        <v>59</v>
      </c>
      <c r="J278" s="137">
        <f t="shared" si="68"/>
        <v>4.18</v>
      </c>
      <c r="K278" s="137">
        <f t="shared" si="68"/>
        <v>150</v>
      </c>
      <c r="L278" s="141">
        <f t="shared" si="68"/>
        <v>1.04</v>
      </c>
      <c r="M278" s="141">
        <f t="shared" si="68"/>
        <v>1</v>
      </c>
      <c r="N278" s="137">
        <f t="shared" si="68"/>
        <v>3260.4</v>
      </c>
      <c r="O278" s="45">
        <f t="shared" si="68"/>
        <v>0</v>
      </c>
      <c r="P278" s="137">
        <f t="shared" si="68"/>
        <v>0</v>
      </c>
      <c r="Q278" s="167">
        <f t="shared" si="68"/>
        <v>0</v>
      </c>
      <c r="R278" s="137">
        <f t="shared" si="68"/>
        <v>0</v>
      </c>
      <c r="S278" s="137">
        <f t="shared" si="68"/>
        <v>0</v>
      </c>
      <c r="T278" s="137">
        <f t="shared" si="68"/>
        <v>0</v>
      </c>
      <c r="U278" s="137">
        <f t="shared" si="68"/>
        <v>3441.4000422</v>
      </c>
    </row>
    <row r="279" spans="1:21" ht="15" outlineLevel="2">
      <c r="A279" s="6" t="s">
        <v>343</v>
      </c>
      <c r="B279" s="7" t="s">
        <v>73</v>
      </c>
      <c r="C279" s="7" t="s">
        <v>74</v>
      </c>
      <c r="D279" s="7" t="s">
        <v>344</v>
      </c>
      <c r="E279" s="42" t="s">
        <v>328</v>
      </c>
      <c r="F279" s="39" t="s">
        <v>53</v>
      </c>
      <c r="G279" s="24" t="s">
        <v>62</v>
      </c>
      <c r="H279" s="136">
        <v>5.234611199999999</v>
      </c>
      <c r="I279" s="149">
        <v>16</v>
      </c>
      <c r="J279" s="136">
        <f>I279*$J$1</f>
        <v>1.6</v>
      </c>
      <c r="K279" s="136">
        <v>60</v>
      </c>
      <c r="L279" s="139"/>
      <c r="M279" s="139"/>
      <c r="N279" s="136"/>
      <c r="O279" s="11"/>
      <c r="P279" s="136"/>
      <c r="Q279" s="140"/>
      <c r="R279" s="136"/>
      <c r="S279" s="136"/>
      <c r="T279" s="136"/>
      <c r="U279" s="136">
        <f aca="true" t="shared" si="69" ref="U279:U284">H279+J279+K279+N279+P279+R279+S279+T279</f>
        <v>66.8346112</v>
      </c>
    </row>
    <row r="280" spans="1:21" ht="15" outlineLevel="2">
      <c r="A280" s="6" t="s">
        <v>343</v>
      </c>
      <c r="B280" s="7" t="s">
        <v>73</v>
      </c>
      <c r="C280" s="7" t="s">
        <v>74</v>
      </c>
      <c r="D280" s="7" t="s">
        <v>344</v>
      </c>
      <c r="E280" s="42" t="s">
        <v>328</v>
      </c>
      <c r="F280" s="39" t="s">
        <v>53</v>
      </c>
      <c r="G280" s="24" t="s">
        <v>63</v>
      </c>
      <c r="H280" s="136">
        <v>2.296434</v>
      </c>
      <c r="I280" s="149">
        <v>1</v>
      </c>
      <c r="J280" s="136">
        <f>I280*$J$2</f>
        <v>0.06</v>
      </c>
      <c r="K280" s="136">
        <v>0</v>
      </c>
      <c r="L280" s="139"/>
      <c r="M280" s="139"/>
      <c r="N280" s="136"/>
      <c r="O280" s="11"/>
      <c r="P280" s="136"/>
      <c r="Q280" s="140"/>
      <c r="R280" s="136"/>
      <c r="S280" s="136"/>
      <c r="T280" s="136"/>
      <c r="U280" s="136">
        <f t="shared" si="69"/>
        <v>2.356434</v>
      </c>
    </row>
    <row r="281" spans="1:21" ht="15" outlineLevel="2">
      <c r="A281" s="6" t="s">
        <v>343</v>
      </c>
      <c r="B281" s="7" t="s">
        <v>73</v>
      </c>
      <c r="C281" s="7" t="s">
        <v>74</v>
      </c>
      <c r="D281" s="7" t="s">
        <v>344</v>
      </c>
      <c r="E281" s="42" t="s">
        <v>328</v>
      </c>
      <c r="F281" s="39" t="s">
        <v>53</v>
      </c>
      <c r="G281" s="11" t="s">
        <v>64</v>
      </c>
      <c r="H281" s="136">
        <v>0.608188</v>
      </c>
      <c r="I281" s="140">
        <v>1</v>
      </c>
      <c r="J281" s="136">
        <f>I281*$J$2</f>
        <v>0.06</v>
      </c>
      <c r="K281" s="136">
        <v>15</v>
      </c>
      <c r="L281" s="139"/>
      <c r="M281" s="139"/>
      <c r="N281" s="136"/>
      <c r="O281" s="11"/>
      <c r="P281" s="136"/>
      <c r="Q281" s="140"/>
      <c r="R281" s="136"/>
      <c r="S281" s="136"/>
      <c r="T281" s="136"/>
      <c r="U281" s="136">
        <f t="shared" si="69"/>
        <v>15.668188</v>
      </c>
    </row>
    <row r="282" spans="1:21" ht="15" outlineLevel="2">
      <c r="A282" s="6" t="s">
        <v>343</v>
      </c>
      <c r="B282" s="7" t="s">
        <v>73</v>
      </c>
      <c r="C282" s="7" t="s">
        <v>74</v>
      </c>
      <c r="D282" s="7" t="s">
        <v>344</v>
      </c>
      <c r="E282" s="42" t="s">
        <v>328</v>
      </c>
      <c r="F282" s="39" t="s">
        <v>53</v>
      </c>
      <c r="G282" s="24" t="s">
        <v>65</v>
      </c>
      <c r="H282" s="136">
        <v>12.300078000000001</v>
      </c>
      <c r="I282" s="149">
        <v>25</v>
      </c>
      <c r="J282" s="136">
        <f>I282*$J$2</f>
        <v>1.5</v>
      </c>
      <c r="K282" s="136">
        <v>60</v>
      </c>
      <c r="L282" s="139"/>
      <c r="M282" s="139"/>
      <c r="N282" s="136"/>
      <c r="O282" s="11"/>
      <c r="P282" s="136"/>
      <c r="Q282" s="140"/>
      <c r="R282" s="136"/>
      <c r="S282" s="136"/>
      <c r="T282" s="136"/>
      <c r="U282" s="136">
        <f t="shared" si="69"/>
        <v>73.800078</v>
      </c>
    </row>
    <row r="283" spans="1:21" ht="15" outlineLevel="2">
      <c r="A283" s="6" t="str">
        <f>A282</f>
        <v>M459</v>
      </c>
      <c r="B283" s="11" t="str">
        <f>B282</f>
        <v>DOH-ICS</v>
      </c>
      <c r="C283" s="11" t="str">
        <f>C282</f>
        <v>INTEGRATED CLINICAL SERVICES</v>
      </c>
      <c r="D283" s="13" t="str">
        <f>D282</f>
        <v>404550</v>
      </c>
      <c r="E283" s="24" t="str">
        <f>E282</f>
        <v>40-45</v>
      </c>
      <c r="F283" s="39" t="s">
        <v>585</v>
      </c>
      <c r="G283" s="24" t="s">
        <v>585</v>
      </c>
      <c r="H283" s="136"/>
      <c r="I283" s="149"/>
      <c r="J283" s="136"/>
      <c r="K283" s="136"/>
      <c r="L283" s="139">
        <v>0.7</v>
      </c>
      <c r="M283" s="139">
        <v>1</v>
      </c>
      <c r="N283" s="136">
        <f>L283*M283*$N$2</f>
        <v>2194.5</v>
      </c>
      <c r="O283" s="11"/>
      <c r="P283" s="136"/>
      <c r="Q283" s="140"/>
      <c r="R283" s="136"/>
      <c r="S283" s="136"/>
      <c r="T283" s="136"/>
      <c r="U283" s="136">
        <f t="shared" si="69"/>
        <v>2194.5</v>
      </c>
    </row>
    <row r="284" spans="1:21" ht="15" outlineLevel="2">
      <c r="A284" s="28" t="s">
        <v>343</v>
      </c>
      <c r="B284" s="11" t="str">
        <f>B283</f>
        <v>DOH-ICS</v>
      </c>
      <c r="C284" s="11" t="str">
        <f>C283</f>
        <v>INTEGRATED CLINICAL SERVICES</v>
      </c>
      <c r="D284" s="13" t="str">
        <f>D283</f>
        <v>404550</v>
      </c>
      <c r="E284" s="38" t="str">
        <f>E283</f>
        <v>40-45</v>
      </c>
      <c r="F284" s="20" t="s">
        <v>615</v>
      </c>
      <c r="G284" s="11" t="s">
        <v>615</v>
      </c>
      <c r="H284" s="136"/>
      <c r="I284" s="140"/>
      <c r="J284" s="136"/>
      <c r="K284" s="136"/>
      <c r="L284" s="139"/>
      <c r="M284" s="139"/>
      <c r="N284" s="136"/>
      <c r="O284" s="29">
        <f>0.25+1</f>
        <v>1.25</v>
      </c>
      <c r="P284" s="136">
        <f>O284*$P$2</f>
        <v>90</v>
      </c>
      <c r="Q284" s="140"/>
      <c r="R284" s="136"/>
      <c r="S284" s="136"/>
      <c r="T284" s="136"/>
      <c r="U284" s="136">
        <f t="shared" si="69"/>
        <v>90</v>
      </c>
    </row>
    <row r="285" spans="1:21" s="5" customFormat="1" ht="15.75" outlineLevel="1">
      <c r="A285" s="1" t="s">
        <v>924</v>
      </c>
      <c r="B285" s="172"/>
      <c r="C285" s="2"/>
      <c r="D285" s="19"/>
      <c r="E285" s="44"/>
      <c r="F285" s="51"/>
      <c r="G285" s="2"/>
      <c r="H285" s="137">
        <f aca="true" t="shared" si="70" ref="H285:U285">SUBTOTAL(9,H279:H284)</f>
        <v>20.4393112</v>
      </c>
      <c r="I285" s="144">
        <f t="shared" si="70"/>
        <v>43</v>
      </c>
      <c r="J285" s="137">
        <f t="shared" si="70"/>
        <v>3.22</v>
      </c>
      <c r="K285" s="137">
        <f t="shared" si="70"/>
        <v>135</v>
      </c>
      <c r="L285" s="141">
        <f t="shared" si="70"/>
        <v>0.7</v>
      </c>
      <c r="M285" s="141">
        <f t="shared" si="70"/>
        <v>1</v>
      </c>
      <c r="N285" s="137">
        <f t="shared" si="70"/>
        <v>2194.5</v>
      </c>
      <c r="O285" s="45">
        <f t="shared" si="70"/>
        <v>1.25</v>
      </c>
      <c r="P285" s="137">
        <f t="shared" si="70"/>
        <v>90</v>
      </c>
      <c r="Q285" s="167">
        <f t="shared" si="70"/>
        <v>0</v>
      </c>
      <c r="R285" s="137">
        <f t="shared" si="70"/>
        <v>0</v>
      </c>
      <c r="S285" s="137">
        <f t="shared" si="70"/>
        <v>0</v>
      </c>
      <c r="T285" s="137">
        <f t="shared" si="70"/>
        <v>0</v>
      </c>
      <c r="U285" s="137">
        <f t="shared" si="70"/>
        <v>2443.1593112</v>
      </c>
    </row>
    <row r="286" spans="1:21" ht="15" outlineLevel="2">
      <c r="A286" s="6" t="s">
        <v>345</v>
      </c>
      <c r="B286" s="7" t="s">
        <v>73</v>
      </c>
      <c r="C286" s="7" t="s">
        <v>74</v>
      </c>
      <c r="D286" s="7" t="s">
        <v>346</v>
      </c>
      <c r="E286" s="42" t="s">
        <v>328</v>
      </c>
      <c r="F286" s="39" t="s">
        <v>53</v>
      </c>
      <c r="G286" s="24" t="s">
        <v>62</v>
      </c>
      <c r="H286" s="136">
        <v>3.795932</v>
      </c>
      <c r="I286" s="149">
        <v>10</v>
      </c>
      <c r="J286" s="136">
        <f>I286*$J$1</f>
        <v>1</v>
      </c>
      <c r="K286" s="136">
        <v>30</v>
      </c>
      <c r="L286" s="139"/>
      <c r="M286" s="139"/>
      <c r="N286" s="136"/>
      <c r="O286" s="11"/>
      <c r="P286" s="136"/>
      <c r="Q286" s="140"/>
      <c r="R286" s="136"/>
      <c r="S286" s="136"/>
      <c r="T286" s="136"/>
      <c r="U286" s="136">
        <f aca="true" t="shared" si="71" ref="U286:U292">H286+J286+K286+N286+P286+R286+S286+T286</f>
        <v>34.795932</v>
      </c>
    </row>
    <row r="287" spans="1:21" ht="15" outlineLevel="2">
      <c r="A287" s="6" t="s">
        <v>345</v>
      </c>
      <c r="B287" s="7" t="s">
        <v>73</v>
      </c>
      <c r="C287" s="7" t="s">
        <v>74</v>
      </c>
      <c r="D287" s="7" t="s">
        <v>346</v>
      </c>
      <c r="E287" s="42" t="s">
        <v>328</v>
      </c>
      <c r="F287" s="39" t="s">
        <v>53</v>
      </c>
      <c r="G287" s="24" t="s">
        <v>63</v>
      </c>
      <c r="H287" s="136">
        <v>7.6442939999999995</v>
      </c>
      <c r="I287" s="149">
        <v>1</v>
      </c>
      <c r="J287" s="136">
        <f>I287*$J$2</f>
        <v>0.06</v>
      </c>
      <c r="K287" s="136">
        <v>0</v>
      </c>
      <c r="L287" s="139"/>
      <c r="M287" s="139"/>
      <c r="N287" s="136"/>
      <c r="O287" s="11"/>
      <c r="P287" s="136"/>
      <c r="Q287" s="140"/>
      <c r="R287" s="136"/>
      <c r="S287" s="136"/>
      <c r="T287" s="136"/>
      <c r="U287" s="136">
        <f t="shared" si="71"/>
        <v>7.704293999999999</v>
      </c>
    </row>
    <row r="288" spans="1:21" ht="15" outlineLevel="2">
      <c r="A288" s="6" t="s">
        <v>345</v>
      </c>
      <c r="B288" s="7" t="s">
        <v>73</v>
      </c>
      <c r="C288" s="7" t="s">
        <v>74</v>
      </c>
      <c r="D288" s="7" t="s">
        <v>346</v>
      </c>
      <c r="E288" s="42" t="s">
        <v>328</v>
      </c>
      <c r="F288" s="39" t="s">
        <v>53</v>
      </c>
      <c r="G288" s="11" t="s">
        <v>64</v>
      </c>
      <c r="H288" s="136">
        <v>9.5223366</v>
      </c>
      <c r="I288" s="140">
        <v>11</v>
      </c>
      <c r="J288" s="136">
        <f>I288*$J$2</f>
        <v>0.6599999999999999</v>
      </c>
      <c r="K288" s="136">
        <v>15</v>
      </c>
      <c r="L288" s="139"/>
      <c r="M288" s="139"/>
      <c r="N288" s="136"/>
      <c r="O288" s="11"/>
      <c r="P288" s="136"/>
      <c r="Q288" s="140"/>
      <c r="R288" s="136"/>
      <c r="S288" s="136"/>
      <c r="T288" s="136"/>
      <c r="U288" s="136">
        <f t="shared" si="71"/>
        <v>25.1823366</v>
      </c>
    </row>
    <row r="289" spans="1:21" ht="15" outlineLevel="2">
      <c r="A289" s="6" t="s">
        <v>345</v>
      </c>
      <c r="B289" s="7" t="s">
        <v>73</v>
      </c>
      <c r="C289" s="7" t="s">
        <v>74</v>
      </c>
      <c r="D289" s="7" t="s">
        <v>346</v>
      </c>
      <c r="E289" s="42" t="s">
        <v>328</v>
      </c>
      <c r="F289" s="39" t="s">
        <v>53</v>
      </c>
      <c r="G289" s="24" t="s">
        <v>65</v>
      </c>
      <c r="H289" s="136">
        <v>12.520283999999998</v>
      </c>
      <c r="I289" s="149">
        <v>28</v>
      </c>
      <c r="J289" s="136">
        <f>I289*$J$2</f>
        <v>1.68</v>
      </c>
      <c r="K289" s="136">
        <v>105</v>
      </c>
      <c r="L289" s="139"/>
      <c r="M289" s="139"/>
      <c r="N289" s="136"/>
      <c r="O289" s="11"/>
      <c r="P289" s="136"/>
      <c r="Q289" s="140"/>
      <c r="R289" s="136"/>
      <c r="S289" s="136"/>
      <c r="T289" s="136"/>
      <c r="U289" s="136">
        <f t="shared" si="71"/>
        <v>119.200284</v>
      </c>
    </row>
    <row r="290" spans="1:21" ht="15" outlineLevel="2">
      <c r="A290" s="6" t="s">
        <v>345</v>
      </c>
      <c r="B290" s="7" t="s">
        <v>73</v>
      </c>
      <c r="C290" s="7" t="s">
        <v>74</v>
      </c>
      <c r="D290" s="7" t="s">
        <v>346</v>
      </c>
      <c r="E290" s="42" t="s">
        <v>328</v>
      </c>
      <c r="F290" s="39" t="s">
        <v>53</v>
      </c>
      <c r="G290" s="11" t="s">
        <v>66</v>
      </c>
      <c r="H290" s="136">
        <v>19.2355184</v>
      </c>
      <c r="I290" s="140">
        <v>26</v>
      </c>
      <c r="J290" s="136">
        <f>I290*$J$2</f>
        <v>1.56</v>
      </c>
      <c r="K290" s="136">
        <v>0</v>
      </c>
      <c r="L290" s="139"/>
      <c r="M290" s="139"/>
      <c r="N290" s="136"/>
      <c r="O290" s="11"/>
      <c r="P290" s="136"/>
      <c r="Q290" s="140"/>
      <c r="R290" s="136"/>
      <c r="S290" s="136"/>
      <c r="T290" s="136"/>
      <c r="U290" s="136">
        <f t="shared" si="71"/>
        <v>20.7955184</v>
      </c>
    </row>
    <row r="291" spans="1:21" ht="15" outlineLevel="2">
      <c r="A291" s="6" t="str">
        <f>A290</f>
        <v>M460</v>
      </c>
      <c r="B291" s="11" t="str">
        <f>B290</f>
        <v>DOH-ICS</v>
      </c>
      <c r="C291" s="11" t="str">
        <f>C290</f>
        <v>INTEGRATED CLINICAL SERVICES</v>
      </c>
      <c r="D291" s="13" t="str">
        <f>D290</f>
        <v>404525</v>
      </c>
      <c r="E291" s="24" t="str">
        <f>E290</f>
        <v>40-45</v>
      </c>
      <c r="F291" s="39" t="s">
        <v>585</v>
      </c>
      <c r="G291" s="24" t="s">
        <v>585</v>
      </c>
      <c r="H291" s="136"/>
      <c r="I291" s="140"/>
      <c r="J291" s="136"/>
      <c r="K291" s="136"/>
      <c r="L291" s="139">
        <v>1.04</v>
      </c>
      <c r="M291" s="139">
        <v>1</v>
      </c>
      <c r="N291" s="136">
        <f>L291*M291*$N$2</f>
        <v>3260.4</v>
      </c>
      <c r="O291" s="11"/>
      <c r="P291" s="136"/>
      <c r="Q291" s="140"/>
      <c r="R291" s="136"/>
      <c r="S291" s="136"/>
      <c r="T291" s="136"/>
      <c r="U291" s="136">
        <f t="shared" si="71"/>
        <v>3260.4</v>
      </c>
    </row>
    <row r="292" spans="1:21" ht="15" outlineLevel="2">
      <c r="A292" s="28" t="s">
        <v>345</v>
      </c>
      <c r="B292" s="11" t="str">
        <f>B291</f>
        <v>DOH-ICS</v>
      </c>
      <c r="C292" s="11" t="str">
        <f>C291</f>
        <v>INTEGRATED CLINICAL SERVICES</v>
      </c>
      <c r="D292" s="13" t="str">
        <f>D291</f>
        <v>404525</v>
      </c>
      <c r="E292" s="38" t="str">
        <f>E291</f>
        <v>40-45</v>
      </c>
      <c r="F292" s="20" t="s">
        <v>615</v>
      </c>
      <c r="G292" s="11" t="s">
        <v>615</v>
      </c>
      <c r="H292" s="136"/>
      <c r="I292" s="140"/>
      <c r="J292" s="136"/>
      <c r="K292" s="136"/>
      <c r="L292" s="139"/>
      <c r="M292" s="139"/>
      <c r="N292" s="136"/>
      <c r="O292" s="29">
        <f>1.5+0.25</f>
        <v>1.75</v>
      </c>
      <c r="P292" s="136">
        <f>O292*$P$2</f>
        <v>126</v>
      </c>
      <c r="Q292" s="140"/>
      <c r="R292" s="136"/>
      <c r="S292" s="136"/>
      <c r="T292" s="136"/>
      <c r="U292" s="136">
        <f t="shared" si="71"/>
        <v>126</v>
      </c>
    </row>
    <row r="293" spans="1:21" s="5" customFormat="1" ht="15.75" outlineLevel="1">
      <c r="A293" s="1" t="s">
        <v>925</v>
      </c>
      <c r="B293" s="172"/>
      <c r="C293" s="2"/>
      <c r="D293" s="19"/>
      <c r="E293" s="44"/>
      <c r="F293" s="51"/>
      <c r="G293" s="2"/>
      <c r="H293" s="137">
        <f aca="true" t="shared" si="72" ref="H293:U293">SUBTOTAL(9,H286:H292)</f>
        <v>52.71836499999999</v>
      </c>
      <c r="I293" s="144">
        <f t="shared" si="72"/>
        <v>76</v>
      </c>
      <c r="J293" s="137">
        <f t="shared" si="72"/>
        <v>4.96</v>
      </c>
      <c r="K293" s="137">
        <f t="shared" si="72"/>
        <v>150</v>
      </c>
      <c r="L293" s="141">
        <f t="shared" si="72"/>
        <v>1.04</v>
      </c>
      <c r="M293" s="141">
        <f t="shared" si="72"/>
        <v>1</v>
      </c>
      <c r="N293" s="137">
        <f t="shared" si="72"/>
        <v>3260.4</v>
      </c>
      <c r="O293" s="45">
        <f t="shared" si="72"/>
        <v>1.75</v>
      </c>
      <c r="P293" s="137">
        <f t="shared" si="72"/>
        <v>126</v>
      </c>
      <c r="Q293" s="167">
        <f t="shared" si="72"/>
        <v>0</v>
      </c>
      <c r="R293" s="137">
        <f t="shared" si="72"/>
        <v>0</v>
      </c>
      <c r="S293" s="137">
        <f t="shared" si="72"/>
        <v>0</v>
      </c>
      <c r="T293" s="137">
        <f t="shared" si="72"/>
        <v>0</v>
      </c>
      <c r="U293" s="137">
        <f t="shared" si="72"/>
        <v>3594.0783650000003</v>
      </c>
    </row>
    <row r="294" spans="1:21" ht="15" outlineLevel="2">
      <c r="A294" s="6" t="s">
        <v>347</v>
      </c>
      <c r="B294" s="7" t="s">
        <v>73</v>
      </c>
      <c r="C294" s="7" t="s">
        <v>74</v>
      </c>
      <c r="D294" s="7" t="s">
        <v>348</v>
      </c>
      <c r="E294" s="42" t="s">
        <v>328</v>
      </c>
      <c r="F294" s="39" t="s">
        <v>53</v>
      </c>
      <c r="G294" s="24" t="s">
        <v>62</v>
      </c>
      <c r="H294" s="136">
        <v>2.8144424</v>
      </c>
      <c r="I294" s="149">
        <v>7</v>
      </c>
      <c r="J294" s="136">
        <f>I294*$J$1</f>
        <v>0.7000000000000001</v>
      </c>
      <c r="K294" s="136">
        <v>30</v>
      </c>
      <c r="L294" s="139"/>
      <c r="M294" s="139"/>
      <c r="N294" s="136"/>
      <c r="O294" s="11"/>
      <c r="P294" s="136"/>
      <c r="Q294" s="140"/>
      <c r="R294" s="136"/>
      <c r="S294" s="136"/>
      <c r="T294" s="136"/>
      <c r="U294" s="136">
        <f aca="true" t="shared" si="73" ref="U294:U299">H294+J294+K294+N294+P294+R294+S294+T294</f>
        <v>33.5144424</v>
      </c>
    </row>
    <row r="295" spans="1:21" ht="15" outlineLevel="2">
      <c r="A295" s="6" t="s">
        <v>347</v>
      </c>
      <c r="B295" s="7" t="s">
        <v>73</v>
      </c>
      <c r="C295" s="7" t="s">
        <v>74</v>
      </c>
      <c r="D295" s="7" t="s">
        <v>348</v>
      </c>
      <c r="E295" s="42" t="s">
        <v>328</v>
      </c>
      <c r="F295" s="39" t="s">
        <v>53</v>
      </c>
      <c r="G295" s="11" t="s">
        <v>64</v>
      </c>
      <c r="H295" s="136">
        <v>1.36318</v>
      </c>
      <c r="I295" s="140">
        <v>1</v>
      </c>
      <c r="J295" s="136">
        <f>I295*$J$2</f>
        <v>0.06</v>
      </c>
      <c r="K295" s="136">
        <v>15</v>
      </c>
      <c r="L295" s="139"/>
      <c r="M295" s="139"/>
      <c r="N295" s="136"/>
      <c r="O295" s="11"/>
      <c r="P295" s="136"/>
      <c r="Q295" s="140"/>
      <c r="R295" s="136"/>
      <c r="S295" s="136"/>
      <c r="T295" s="136"/>
      <c r="U295" s="136">
        <f t="shared" si="73"/>
        <v>16.42318</v>
      </c>
    </row>
    <row r="296" spans="1:21" ht="15" outlineLevel="2">
      <c r="A296" s="6" t="s">
        <v>347</v>
      </c>
      <c r="B296" s="7" t="s">
        <v>73</v>
      </c>
      <c r="C296" s="7" t="s">
        <v>74</v>
      </c>
      <c r="D296" s="7" t="s">
        <v>348</v>
      </c>
      <c r="E296" s="42" t="s">
        <v>328</v>
      </c>
      <c r="F296" s="39" t="s">
        <v>53</v>
      </c>
      <c r="G296" s="24" t="s">
        <v>65</v>
      </c>
      <c r="H296" s="136">
        <v>17.532591999999998</v>
      </c>
      <c r="I296" s="149">
        <v>37</v>
      </c>
      <c r="J296" s="136">
        <f>I296*$J$2</f>
        <v>2.2199999999999998</v>
      </c>
      <c r="K296" s="136">
        <v>120</v>
      </c>
      <c r="L296" s="139"/>
      <c r="M296" s="139"/>
      <c r="N296" s="136"/>
      <c r="O296" s="11"/>
      <c r="P296" s="136"/>
      <c r="Q296" s="140"/>
      <c r="R296" s="136"/>
      <c r="S296" s="136"/>
      <c r="T296" s="136"/>
      <c r="U296" s="136">
        <f t="shared" si="73"/>
        <v>139.752592</v>
      </c>
    </row>
    <row r="297" spans="1:21" ht="15" outlineLevel="2">
      <c r="A297" s="6" t="s">
        <v>347</v>
      </c>
      <c r="B297" s="7" t="s">
        <v>73</v>
      </c>
      <c r="C297" s="7" t="s">
        <v>74</v>
      </c>
      <c r="D297" s="7" t="s">
        <v>348</v>
      </c>
      <c r="E297" s="42" t="s">
        <v>328</v>
      </c>
      <c r="F297" s="39" t="s">
        <v>53</v>
      </c>
      <c r="G297" s="11" t="s">
        <v>66</v>
      </c>
      <c r="H297" s="136">
        <v>8.75581</v>
      </c>
      <c r="I297" s="140">
        <v>10</v>
      </c>
      <c r="J297" s="136">
        <f>I297*$J$2</f>
        <v>0.6</v>
      </c>
      <c r="K297" s="136">
        <v>0</v>
      </c>
      <c r="L297" s="139"/>
      <c r="M297" s="139"/>
      <c r="N297" s="136"/>
      <c r="O297" s="11"/>
      <c r="P297" s="136"/>
      <c r="Q297" s="140"/>
      <c r="R297" s="136"/>
      <c r="S297" s="136"/>
      <c r="T297" s="136"/>
      <c r="U297" s="136">
        <f t="shared" si="73"/>
        <v>9.35581</v>
      </c>
    </row>
    <row r="298" spans="1:21" ht="15" outlineLevel="2">
      <c r="A298" s="6" t="str">
        <f>A297</f>
        <v>M461</v>
      </c>
      <c r="B298" s="11" t="str">
        <f>B297</f>
        <v>DOH-ICS</v>
      </c>
      <c r="C298" s="11" t="str">
        <f>C297</f>
        <v>INTEGRATED CLINICAL SERVICES</v>
      </c>
      <c r="D298" s="13" t="str">
        <f>D297</f>
        <v>404520</v>
      </c>
      <c r="E298" s="24" t="str">
        <f>E297</f>
        <v>40-45</v>
      </c>
      <c r="F298" s="39" t="s">
        <v>585</v>
      </c>
      <c r="G298" s="24" t="s">
        <v>585</v>
      </c>
      <c r="H298" s="136"/>
      <c r="I298" s="140"/>
      <c r="J298" s="136"/>
      <c r="K298" s="136"/>
      <c r="L298" s="139">
        <v>1.04</v>
      </c>
      <c r="M298" s="139">
        <v>1</v>
      </c>
      <c r="N298" s="136">
        <f>L298*M298*$N$2</f>
        <v>3260.4</v>
      </c>
      <c r="O298" s="11"/>
      <c r="P298" s="136"/>
      <c r="Q298" s="140"/>
      <c r="R298" s="136"/>
      <c r="S298" s="136"/>
      <c r="T298" s="136"/>
      <c r="U298" s="136">
        <f t="shared" si="73"/>
        <v>3260.4</v>
      </c>
    </row>
    <row r="299" spans="1:21" ht="15" outlineLevel="2">
      <c r="A299" s="6" t="str">
        <f>A297</f>
        <v>M461</v>
      </c>
      <c r="B299" s="11" t="str">
        <f>B297</f>
        <v>DOH-ICS</v>
      </c>
      <c r="C299" s="11" t="str">
        <f>C297</f>
        <v>INTEGRATED CLINICAL SERVICES</v>
      </c>
      <c r="D299" s="13" t="str">
        <f>D297</f>
        <v>404520</v>
      </c>
      <c r="E299" s="24" t="str">
        <f>E297</f>
        <v>40-45</v>
      </c>
      <c r="F299" s="39" t="s">
        <v>615</v>
      </c>
      <c r="G299" s="24" t="s">
        <v>615</v>
      </c>
      <c r="H299" s="136"/>
      <c r="I299" s="140"/>
      <c r="J299" s="136"/>
      <c r="K299" s="136"/>
      <c r="L299" s="139"/>
      <c r="M299" s="139"/>
      <c r="N299" s="136"/>
      <c r="O299" s="34">
        <v>0.75</v>
      </c>
      <c r="P299" s="136">
        <f>O299*$P$2</f>
        <v>54</v>
      </c>
      <c r="Q299" s="140"/>
      <c r="R299" s="136"/>
      <c r="S299" s="136"/>
      <c r="T299" s="136"/>
      <c r="U299" s="136">
        <f t="shared" si="73"/>
        <v>54</v>
      </c>
    </row>
    <row r="300" spans="1:21" s="5" customFormat="1" ht="15.75" outlineLevel="1">
      <c r="A300" s="1" t="s">
        <v>926</v>
      </c>
      <c r="B300" s="172"/>
      <c r="C300" s="2"/>
      <c r="D300" s="19"/>
      <c r="E300" s="44"/>
      <c r="F300" s="51"/>
      <c r="G300" s="2"/>
      <c r="H300" s="137">
        <f aca="true" t="shared" si="74" ref="H300:U300">SUBTOTAL(9,H294:H299)</f>
        <v>30.4660244</v>
      </c>
      <c r="I300" s="144">
        <f t="shared" si="74"/>
        <v>55</v>
      </c>
      <c r="J300" s="137">
        <f t="shared" si="74"/>
        <v>3.5799999999999996</v>
      </c>
      <c r="K300" s="137">
        <f t="shared" si="74"/>
        <v>165</v>
      </c>
      <c r="L300" s="141">
        <f t="shared" si="74"/>
        <v>1.04</v>
      </c>
      <c r="M300" s="141">
        <f t="shared" si="74"/>
        <v>1</v>
      </c>
      <c r="N300" s="137">
        <f t="shared" si="74"/>
        <v>3260.4</v>
      </c>
      <c r="O300" s="45">
        <f t="shared" si="74"/>
        <v>0.75</v>
      </c>
      <c r="P300" s="137">
        <f t="shared" si="74"/>
        <v>54</v>
      </c>
      <c r="Q300" s="167">
        <f t="shared" si="74"/>
        <v>0</v>
      </c>
      <c r="R300" s="137">
        <f t="shared" si="74"/>
        <v>0</v>
      </c>
      <c r="S300" s="137">
        <f t="shared" si="74"/>
        <v>0</v>
      </c>
      <c r="T300" s="137">
        <f t="shared" si="74"/>
        <v>0</v>
      </c>
      <c r="U300" s="137">
        <f t="shared" si="74"/>
        <v>3513.4460244</v>
      </c>
    </row>
    <row r="301" spans="1:21" ht="15" outlineLevel="2">
      <c r="A301" s="6" t="s">
        <v>349</v>
      </c>
      <c r="B301" s="7" t="s">
        <v>73</v>
      </c>
      <c r="C301" s="7" t="s">
        <v>74</v>
      </c>
      <c r="D301" s="7" t="s">
        <v>350</v>
      </c>
      <c r="E301" s="42" t="s">
        <v>328</v>
      </c>
      <c r="F301" s="39" t="s">
        <v>53</v>
      </c>
      <c r="G301" s="24" t="s">
        <v>62</v>
      </c>
      <c r="H301" s="136">
        <v>62.749272599999976</v>
      </c>
      <c r="I301" s="149">
        <v>183</v>
      </c>
      <c r="J301" s="136">
        <f>I301*$J$1</f>
        <v>18.3</v>
      </c>
      <c r="K301" s="136">
        <v>75</v>
      </c>
      <c r="L301" s="139"/>
      <c r="M301" s="139"/>
      <c r="N301" s="136"/>
      <c r="O301" s="11"/>
      <c r="P301" s="136"/>
      <c r="Q301" s="140"/>
      <c r="R301" s="136"/>
      <c r="S301" s="136"/>
      <c r="T301" s="136"/>
      <c r="U301" s="136">
        <f aca="true" t="shared" si="75" ref="U301:U307">H301+J301+K301+N301+P301+R301+S301+T301</f>
        <v>156.0492726</v>
      </c>
    </row>
    <row r="302" spans="1:21" ht="15" outlineLevel="2">
      <c r="A302" s="6" t="s">
        <v>349</v>
      </c>
      <c r="B302" s="7" t="s">
        <v>73</v>
      </c>
      <c r="C302" s="7" t="s">
        <v>74</v>
      </c>
      <c r="D302" s="7" t="s">
        <v>350</v>
      </c>
      <c r="E302" s="42" t="s">
        <v>328</v>
      </c>
      <c r="F302" s="39" t="s">
        <v>53</v>
      </c>
      <c r="G302" s="24" t="s">
        <v>63</v>
      </c>
      <c r="H302" s="136">
        <v>38.39973199999999</v>
      </c>
      <c r="I302" s="149">
        <v>11</v>
      </c>
      <c r="J302" s="136">
        <f>I302*$J$2</f>
        <v>0.6599999999999999</v>
      </c>
      <c r="K302" s="136">
        <v>0</v>
      </c>
      <c r="L302" s="139"/>
      <c r="M302" s="139"/>
      <c r="N302" s="136"/>
      <c r="O302" s="11"/>
      <c r="P302" s="136"/>
      <c r="Q302" s="140"/>
      <c r="R302" s="136"/>
      <c r="S302" s="136"/>
      <c r="T302" s="136"/>
      <c r="U302" s="136">
        <f t="shared" si="75"/>
        <v>39.05973199999999</v>
      </c>
    </row>
    <row r="303" spans="1:21" ht="15" outlineLevel="2">
      <c r="A303" s="6" t="s">
        <v>349</v>
      </c>
      <c r="B303" s="7" t="s">
        <v>73</v>
      </c>
      <c r="C303" s="7" t="s">
        <v>74</v>
      </c>
      <c r="D303" s="7" t="s">
        <v>350</v>
      </c>
      <c r="E303" s="42" t="s">
        <v>328</v>
      </c>
      <c r="F303" s="39" t="s">
        <v>53</v>
      </c>
      <c r="G303" s="24" t="s">
        <v>64</v>
      </c>
      <c r="H303" s="136">
        <v>57.765276799999995</v>
      </c>
      <c r="I303" s="149">
        <v>57</v>
      </c>
      <c r="J303" s="136">
        <f>I303*$J$2</f>
        <v>3.42</v>
      </c>
      <c r="K303" s="136">
        <v>15</v>
      </c>
      <c r="L303" s="139"/>
      <c r="M303" s="139"/>
      <c r="N303" s="136"/>
      <c r="O303" s="11"/>
      <c r="P303" s="136"/>
      <c r="Q303" s="140"/>
      <c r="R303" s="136"/>
      <c r="S303" s="136"/>
      <c r="T303" s="136"/>
      <c r="U303" s="136">
        <f t="shared" si="75"/>
        <v>76.1852768</v>
      </c>
    </row>
    <row r="304" spans="1:21" ht="15" outlineLevel="2">
      <c r="A304" s="6" t="s">
        <v>349</v>
      </c>
      <c r="B304" s="7" t="s">
        <v>73</v>
      </c>
      <c r="C304" s="7" t="s">
        <v>74</v>
      </c>
      <c r="D304" s="7" t="s">
        <v>350</v>
      </c>
      <c r="E304" s="42" t="s">
        <v>328</v>
      </c>
      <c r="F304" s="39" t="s">
        <v>53</v>
      </c>
      <c r="G304" s="24" t="s">
        <v>65</v>
      </c>
      <c r="H304" s="136">
        <v>31.353139999999996</v>
      </c>
      <c r="I304" s="149">
        <v>68</v>
      </c>
      <c r="J304" s="136">
        <f>I304*$J$2</f>
        <v>4.08</v>
      </c>
      <c r="K304" s="136">
        <v>60</v>
      </c>
      <c r="L304" s="139"/>
      <c r="M304" s="139"/>
      <c r="N304" s="136"/>
      <c r="O304" s="11"/>
      <c r="P304" s="136"/>
      <c r="Q304" s="140"/>
      <c r="R304" s="136"/>
      <c r="S304" s="136"/>
      <c r="T304" s="136"/>
      <c r="U304" s="136">
        <f t="shared" si="75"/>
        <v>95.43314</v>
      </c>
    </row>
    <row r="305" spans="1:21" ht="15" outlineLevel="2">
      <c r="A305" s="6" t="s">
        <v>349</v>
      </c>
      <c r="B305" s="7" t="s">
        <v>73</v>
      </c>
      <c r="C305" s="7" t="s">
        <v>74</v>
      </c>
      <c r="D305" s="7" t="s">
        <v>350</v>
      </c>
      <c r="E305" s="42" t="s">
        <v>328</v>
      </c>
      <c r="F305" s="39" t="s">
        <v>53</v>
      </c>
      <c r="G305" s="24" t="s">
        <v>66</v>
      </c>
      <c r="H305" s="136">
        <v>5.0448146</v>
      </c>
      <c r="I305" s="149">
        <v>11</v>
      </c>
      <c r="J305" s="136">
        <f>I305*$J$2</f>
        <v>0.6599999999999999</v>
      </c>
      <c r="K305" s="136">
        <v>30</v>
      </c>
      <c r="L305" s="139"/>
      <c r="M305" s="139"/>
      <c r="N305" s="136"/>
      <c r="O305" s="11"/>
      <c r="P305" s="136"/>
      <c r="Q305" s="140"/>
      <c r="R305" s="136"/>
      <c r="S305" s="136"/>
      <c r="T305" s="136"/>
      <c r="U305" s="136">
        <f t="shared" si="75"/>
        <v>35.7048146</v>
      </c>
    </row>
    <row r="306" spans="1:21" ht="15" outlineLevel="2">
      <c r="A306" s="6" t="str">
        <f>A305</f>
        <v>M465</v>
      </c>
      <c r="B306" s="11" t="str">
        <f>B305</f>
        <v>DOH-ICS</v>
      </c>
      <c r="C306" s="11" t="str">
        <f>C305</f>
        <v>INTEGRATED CLINICAL SERVICES</v>
      </c>
      <c r="D306" s="13" t="str">
        <f>D305</f>
        <v>404504</v>
      </c>
      <c r="E306" s="24" t="str">
        <f>E305</f>
        <v>40-45</v>
      </c>
      <c r="F306" s="39" t="s">
        <v>585</v>
      </c>
      <c r="G306" s="24" t="s">
        <v>585</v>
      </c>
      <c r="H306" s="136"/>
      <c r="I306" s="149"/>
      <c r="J306" s="136"/>
      <c r="K306" s="136"/>
      <c r="L306" s="139">
        <v>1</v>
      </c>
      <c r="M306" s="139">
        <v>1</v>
      </c>
      <c r="N306" s="136">
        <f>L306*M306*$N$2</f>
        <v>3135</v>
      </c>
      <c r="O306" s="11"/>
      <c r="P306" s="136"/>
      <c r="Q306" s="140"/>
      <c r="R306" s="136"/>
      <c r="S306" s="136"/>
      <c r="T306" s="136"/>
      <c r="U306" s="136">
        <f t="shared" si="75"/>
        <v>3135</v>
      </c>
    </row>
    <row r="307" spans="1:21" ht="15" outlineLevel="2">
      <c r="A307" s="28" t="s">
        <v>349</v>
      </c>
      <c r="B307" s="11" t="str">
        <f>B306</f>
        <v>DOH-ICS</v>
      </c>
      <c r="C307" s="11" t="str">
        <f>C306</f>
        <v>INTEGRATED CLINICAL SERVICES</v>
      </c>
      <c r="D307" s="13" t="str">
        <f>D306</f>
        <v>404504</v>
      </c>
      <c r="E307" s="38" t="str">
        <f>E306</f>
        <v>40-45</v>
      </c>
      <c r="F307" s="20" t="s">
        <v>615</v>
      </c>
      <c r="G307" s="11" t="s">
        <v>615</v>
      </c>
      <c r="H307" s="136"/>
      <c r="I307" s="140"/>
      <c r="J307" s="136"/>
      <c r="K307" s="136"/>
      <c r="L307" s="139"/>
      <c r="M307" s="139"/>
      <c r="N307" s="136"/>
      <c r="O307" s="29">
        <f>5+3.75</f>
        <v>8.75</v>
      </c>
      <c r="P307" s="136">
        <f>O307*$P$2</f>
        <v>630</v>
      </c>
      <c r="Q307" s="140"/>
      <c r="R307" s="136"/>
      <c r="S307" s="136"/>
      <c r="T307" s="136"/>
      <c r="U307" s="136">
        <f t="shared" si="75"/>
        <v>630</v>
      </c>
    </row>
    <row r="308" spans="1:21" s="5" customFormat="1" ht="15.75" outlineLevel="1">
      <c r="A308" s="1" t="s">
        <v>927</v>
      </c>
      <c r="B308" s="172"/>
      <c r="C308" s="2"/>
      <c r="D308" s="19"/>
      <c r="E308" s="44"/>
      <c r="F308" s="51"/>
      <c r="G308" s="2"/>
      <c r="H308" s="137">
        <f aca="true" t="shared" si="76" ref="H308:U308">SUBTOTAL(9,H301:H307)</f>
        <v>195.31223599999996</v>
      </c>
      <c r="I308" s="144">
        <f t="shared" si="76"/>
        <v>330</v>
      </c>
      <c r="J308" s="137">
        <f t="shared" si="76"/>
        <v>27.12</v>
      </c>
      <c r="K308" s="137">
        <f t="shared" si="76"/>
        <v>180</v>
      </c>
      <c r="L308" s="141">
        <f t="shared" si="76"/>
        <v>1</v>
      </c>
      <c r="M308" s="141">
        <f t="shared" si="76"/>
        <v>1</v>
      </c>
      <c r="N308" s="137">
        <f t="shared" si="76"/>
        <v>3135</v>
      </c>
      <c r="O308" s="45">
        <f t="shared" si="76"/>
        <v>8.75</v>
      </c>
      <c r="P308" s="137">
        <f t="shared" si="76"/>
        <v>630</v>
      </c>
      <c r="Q308" s="167">
        <f t="shared" si="76"/>
        <v>0</v>
      </c>
      <c r="R308" s="137">
        <f t="shared" si="76"/>
        <v>0</v>
      </c>
      <c r="S308" s="137">
        <f t="shared" si="76"/>
        <v>0</v>
      </c>
      <c r="T308" s="137">
        <f t="shared" si="76"/>
        <v>0</v>
      </c>
      <c r="U308" s="137">
        <f t="shared" si="76"/>
        <v>4167.432236000001</v>
      </c>
    </row>
    <row r="309" spans="1:21" ht="15" outlineLevel="2">
      <c r="A309" s="6" t="s">
        <v>351</v>
      </c>
      <c r="B309" s="7" t="s">
        <v>73</v>
      </c>
      <c r="C309" s="7" t="s">
        <v>74</v>
      </c>
      <c r="D309" s="7" t="s">
        <v>352</v>
      </c>
      <c r="E309" s="42" t="s">
        <v>328</v>
      </c>
      <c r="F309" s="39" t="s">
        <v>53</v>
      </c>
      <c r="G309" s="24" t="s">
        <v>62</v>
      </c>
      <c r="H309" s="136">
        <v>9.1605696</v>
      </c>
      <c r="I309" s="149">
        <v>28</v>
      </c>
      <c r="J309" s="136">
        <f>I309*$J$1</f>
        <v>2.8000000000000003</v>
      </c>
      <c r="K309" s="136">
        <v>60</v>
      </c>
      <c r="L309" s="139"/>
      <c r="M309" s="139"/>
      <c r="N309" s="136"/>
      <c r="O309" s="11"/>
      <c r="P309" s="136"/>
      <c r="Q309" s="140"/>
      <c r="R309" s="136"/>
      <c r="S309" s="136"/>
      <c r="T309" s="136"/>
      <c r="U309" s="136">
        <f>H309+J309+K309+N309+P309+R309+S309+T309</f>
        <v>71.9605696</v>
      </c>
    </row>
    <row r="310" spans="1:21" ht="15" outlineLevel="2">
      <c r="A310" s="6" t="s">
        <v>351</v>
      </c>
      <c r="B310" s="7" t="s">
        <v>73</v>
      </c>
      <c r="C310" s="7" t="s">
        <v>74</v>
      </c>
      <c r="D310" s="7" t="s">
        <v>352</v>
      </c>
      <c r="E310" s="42" t="s">
        <v>328</v>
      </c>
      <c r="F310" s="39" t="s">
        <v>53</v>
      </c>
      <c r="G310" s="24" t="s">
        <v>64</v>
      </c>
      <c r="H310" s="136">
        <v>1.017142</v>
      </c>
      <c r="I310" s="149">
        <v>1</v>
      </c>
      <c r="J310" s="136">
        <f>I310*$J$2</f>
        <v>0.06</v>
      </c>
      <c r="K310" s="136">
        <v>0</v>
      </c>
      <c r="L310" s="139"/>
      <c r="M310" s="139"/>
      <c r="N310" s="136"/>
      <c r="O310" s="11"/>
      <c r="P310" s="136"/>
      <c r="Q310" s="140"/>
      <c r="R310" s="136"/>
      <c r="S310" s="136"/>
      <c r="T310" s="136"/>
      <c r="U310" s="136">
        <f>H310+J310+K310+N310+P310+R310+S310+T310</f>
        <v>1.077142</v>
      </c>
    </row>
    <row r="311" spans="1:21" ht="15" outlineLevel="2">
      <c r="A311" s="6" t="s">
        <v>351</v>
      </c>
      <c r="B311" s="7" t="s">
        <v>73</v>
      </c>
      <c r="C311" s="7" t="s">
        <v>74</v>
      </c>
      <c r="D311" s="7" t="s">
        <v>352</v>
      </c>
      <c r="E311" s="42" t="s">
        <v>328</v>
      </c>
      <c r="F311" s="39" t="s">
        <v>53</v>
      </c>
      <c r="G311" s="24" t="s">
        <v>65</v>
      </c>
      <c r="H311" s="136">
        <v>9.75198</v>
      </c>
      <c r="I311" s="149">
        <v>20</v>
      </c>
      <c r="J311" s="136">
        <f>I311*$J$2</f>
        <v>1.2</v>
      </c>
      <c r="K311" s="136">
        <v>75</v>
      </c>
      <c r="L311" s="139"/>
      <c r="M311" s="139"/>
      <c r="N311" s="136"/>
      <c r="O311" s="11"/>
      <c r="P311" s="136"/>
      <c r="Q311" s="140"/>
      <c r="R311" s="136"/>
      <c r="S311" s="136"/>
      <c r="T311" s="136"/>
      <c r="U311" s="136">
        <f>H311+J311+K311+N311+P311+R311+S311+T311</f>
        <v>85.95197999999999</v>
      </c>
    </row>
    <row r="312" spans="1:21" ht="15" outlineLevel="2">
      <c r="A312" s="6" t="str">
        <f>A311</f>
        <v>M466</v>
      </c>
      <c r="B312" s="11" t="str">
        <f>B311</f>
        <v>DOH-ICS</v>
      </c>
      <c r="C312" s="11" t="str">
        <f>C311</f>
        <v>INTEGRATED CLINICAL SERVICES</v>
      </c>
      <c r="D312" s="13" t="str">
        <f>D311</f>
        <v>404575</v>
      </c>
      <c r="E312" s="24" t="str">
        <f>E311</f>
        <v>40-45</v>
      </c>
      <c r="F312" s="39" t="s">
        <v>585</v>
      </c>
      <c r="G312" s="24" t="s">
        <v>585</v>
      </c>
      <c r="H312" s="136"/>
      <c r="I312" s="149"/>
      <c r="J312" s="136"/>
      <c r="K312" s="136"/>
      <c r="L312" s="139">
        <v>0.7</v>
      </c>
      <c r="M312" s="139">
        <v>1</v>
      </c>
      <c r="N312" s="136">
        <f>L312*M312*$N$2</f>
        <v>2194.5</v>
      </c>
      <c r="O312" s="11"/>
      <c r="P312" s="136"/>
      <c r="Q312" s="140"/>
      <c r="R312" s="136"/>
      <c r="S312" s="136"/>
      <c r="T312" s="136"/>
      <c r="U312" s="136">
        <f>H312+J312+K312+N312+P312+R312+S312+T312</f>
        <v>2194.5</v>
      </c>
    </row>
    <row r="313" spans="1:21" s="5" customFormat="1" ht="15.75" outlineLevel="1">
      <c r="A313" s="1" t="s">
        <v>928</v>
      </c>
      <c r="B313" s="172"/>
      <c r="C313" s="2"/>
      <c r="D313" s="19"/>
      <c r="E313" s="44"/>
      <c r="F313" s="51"/>
      <c r="G313" s="2"/>
      <c r="H313" s="137">
        <f aca="true" t="shared" si="77" ref="H313:U313">SUBTOTAL(9,H309:H312)</f>
        <v>19.929691599999998</v>
      </c>
      <c r="I313" s="144">
        <f t="shared" si="77"/>
        <v>49</v>
      </c>
      <c r="J313" s="137">
        <f t="shared" si="77"/>
        <v>4.0600000000000005</v>
      </c>
      <c r="K313" s="137">
        <f t="shared" si="77"/>
        <v>135</v>
      </c>
      <c r="L313" s="141">
        <f t="shared" si="77"/>
        <v>0.7</v>
      </c>
      <c r="M313" s="141">
        <f t="shared" si="77"/>
        <v>1</v>
      </c>
      <c r="N313" s="137">
        <f t="shared" si="77"/>
        <v>2194.5</v>
      </c>
      <c r="O313" s="45">
        <f t="shared" si="77"/>
        <v>0</v>
      </c>
      <c r="P313" s="137">
        <f t="shared" si="77"/>
        <v>0</v>
      </c>
      <c r="Q313" s="167">
        <f t="shared" si="77"/>
        <v>0</v>
      </c>
      <c r="R313" s="137">
        <f t="shared" si="77"/>
        <v>0</v>
      </c>
      <c r="S313" s="137">
        <f t="shared" si="77"/>
        <v>0</v>
      </c>
      <c r="T313" s="137">
        <f t="shared" si="77"/>
        <v>0</v>
      </c>
      <c r="U313" s="137">
        <f t="shared" si="77"/>
        <v>2353.4896916</v>
      </c>
    </row>
    <row r="314" spans="1:21" ht="15" outlineLevel="2">
      <c r="A314" s="6" t="s">
        <v>353</v>
      </c>
      <c r="B314" s="7" t="s">
        <v>92</v>
      </c>
      <c r="C314" s="7" t="s">
        <v>93</v>
      </c>
      <c r="D314" s="8" t="s">
        <v>354</v>
      </c>
      <c r="E314" s="42" t="s">
        <v>355</v>
      </c>
      <c r="F314" s="39" t="s">
        <v>53</v>
      </c>
      <c r="G314" s="11" t="s">
        <v>62</v>
      </c>
      <c r="H314" s="136">
        <v>0.6543264</v>
      </c>
      <c r="I314" s="140">
        <v>2</v>
      </c>
      <c r="J314" s="136">
        <f>I314*$J$1</f>
        <v>0.2</v>
      </c>
      <c r="K314" s="136">
        <v>30</v>
      </c>
      <c r="L314" s="139"/>
      <c r="M314" s="139"/>
      <c r="N314" s="136"/>
      <c r="O314" s="11"/>
      <c r="P314" s="136"/>
      <c r="Q314" s="140"/>
      <c r="R314" s="136"/>
      <c r="S314" s="136"/>
      <c r="T314" s="136"/>
      <c r="U314" s="136">
        <f>H314+J314+K314+N314+P314+R314+S314+T314</f>
        <v>30.8543264</v>
      </c>
    </row>
    <row r="315" spans="1:21" ht="15" outlineLevel="2">
      <c r="A315" s="6" t="s">
        <v>353</v>
      </c>
      <c r="B315" s="7" t="s">
        <v>92</v>
      </c>
      <c r="C315" s="7" t="s">
        <v>93</v>
      </c>
      <c r="D315" s="8" t="s">
        <v>354</v>
      </c>
      <c r="E315" s="42" t="s">
        <v>355</v>
      </c>
      <c r="F315" s="39" t="s">
        <v>53</v>
      </c>
      <c r="G315" s="24" t="s">
        <v>64</v>
      </c>
      <c r="H315" s="136">
        <v>2.390808</v>
      </c>
      <c r="I315" s="149">
        <v>2</v>
      </c>
      <c r="J315" s="136">
        <f>I315*$J$2</f>
        <v>0.12</v>
      </c>
      <c r="K315" s="136">
        <v>15</v>
      </c>
      <c r="L315" s="139"/>
      <c r="M315" s="139"/>
      <c r="N315" s="136"/>
      <c r="O315" s="11"/>
      <c r="P315" s="136"/>
      <c r="Q315" s="140"/>
      <c r="R315" s="136"/>
      <c r="S315" s="136"/>
      <c r="T315" s="136"/>
      <c r="U315" s="136">
        <f>H315+J315+K315+N315+P315+R315+S315+T315</f>
        <v>17.510808</v>
      </c>
    </row>
    <row r="316" spans="1:21" ht="15" outlineLevel="2">
      <c r="A316" s="6" t="s">
        <v>353</v>
      </c>
      <c r="B316" s="7" t="s">
        <v>92</v>
      </c>
      <c r="C316" s="7" t="s">
        <v>93</v>
      </c>
      <c r="D316" s="8" t="s">
        <v>354</v>
      </c>
      <c r="E316" s="42" t="s">
        <v>355</v>
      </c>
      <c r="F316" s="39" t="s">
        <v>53</v>
      </c>
      <c r="G316" s="24" t="s">
        <v>65</v>
      </c>
      <c r="H316" s="136">
        <v>3.449894</v>
      </c>
      <c r="I316" s="149">
        <v>8</v>
      </c>
      <c r="J316" s="136">
        <f>I316*$J$2</f>
        <v>0.48</v>
      </c>
      <c r="K316" s="136">
        <v>45</v>
      </c>
      <c r="L316" s="139"/>
      <c r="M316" s="139"/>
      <c r="N316" s="136"/>
      <c r="O316" s="11"/>
      <c r="P316" s="136"/>
      <c r="Q316" s="140"/>
      <c r="R316" s="136"/>
      <c r="S316" s="136"/>
      <c r="T316" s="136"/>
      <c r="U316" s="136">
        <f>H316+J316+K316+N316+P316+R316+S316+T316</f>
        <v>48.929894</v>
      </c>
    </row>
    <row r="317" spans="1:21" ht="15" outlineLevel="2">
      <c r="A317" s="6" t="str">
        <f>A316</f>
        <v>M472</v>
      </c>
      <c r="B317" s="11" t="str">
        <f>B316</f>
        <v>DOH-CHS</v>
      </c>
      <c r="C317" s="11" t="str">
        <f>C316</f>
        <v>COMM. HEALTH SERVICES</v>
      </c>
      <c r="D317" s="13" t="str">
        <f>D316</f>
        <v>404701</v>
      </c>
      <c r="E317" s="24" t="str">
        <f>E316</f>
        <v>40-47</v>
      </c>
      <c r="F317" s="39" t="s">
        <v>585</v>
      </c>
      <c r="G317" s="24" t="s">
        <v>585</v>
      </c>
      <c r="H317" s="136"/>
      <c r="I317" s="149"/>
      <c r="J317" s="136"/>
      <c r="K317" s="136"/>
      <c r="L317" s="139">
        <v>2</v>
      </c>
      <c r="M317" s="139">
        <v>0.15</v>
      </c>
      <c r="N317" s="136">
        <f>L317*M317*$N$2</f>
        <v>940.5</v>
      </c>
      <c r="O317" s="11"/>
      <c r="P317" s="136"/>
      <c r="Q317" s="140"/>
      <c r="R317" s="136"/>
      <c r="S317" s="136"/>
      <c r="T317" s="136"/>
      <c r="U317" s="136">
        <f>H317+J317+K317+N317+P317+R317+S317+T317</f>
        <v>940.5</v>
      </c>
    </row>
    <row r="318" spans="1:21" ht="15" outlineLevel="2">
      <c r="A318" s="36" t="s">
        <v>353</v>
      </c>
      <c r="B318" s="11" t="str">
        <f>B317</f>
        <v>DOH-CHS</v>
      </c>
      <c r="C318" s="11" t="str">
        <f>C317</f>
        <v>COMM. HEALTH SERVICES</v>
      </c>
      <c r="D318" s="13" t="str">
        <f>D317</f>
        <v>404701</v>
      </c>
      <c r="E318" s="27" t="str">
        <f>E317</f>
        <v>40-47</v>
      </c>
      <c r="F318" s="20" t="s">
        <v>683</v>
      </c>
      <c r="G318" s="11" t="s">
        <v>683</v>
      </c>
      <c r="H318" s="136"/>
      <c r="I318" s="140"/>
      <c r="J318" s="136"/>
      <c r="K318" s="136"/>
      <c r="L318" s="139"/>
      <c r="M318" s="139"/>
      <c r="N318" s="136"/>
      <c r="O318" s="34"/>
      <c r="P318" s="136"/>
      <c r="Q318" s="140"/>
      <c r="R318" s="136"/>
      <c r="S318" s="136"/>
      <c r="T318" s="150">
        <v>6.2</v>
      </c>
      <c r="U318" s="136">
        <f>H318+J318+K318+N318+P318+R318+S318+T318</f>
        <v>6.2</v>
      </c>
    </row>
    <row r="319" spans="1:21" s="5" customFormat="1" ht="15.75" outlineLevel="1">
      <c r="A319" s="1" t="s">
        <v>929</v>
      </c>
      <c r="B319" s="172"/>
      <c r="C319" s="2"/>
      <c r="D319" s="19"/>
      <c r="E319" s="44"/>
      <c r="F319" s="51"/>
      <c r="G319" s="2"/>
      <c r="H319" s="137">
        <f aca="true" t="shared" si="78" ref="H319:U319">SUBTOTAL(9,H314:H318)</f>
        <v>6.4950284</v>
      </c>
      <c r="I319" s="144">
        <f t="shared" si="78"/>
        <v>12</v>
      </c>
      <c r="J319" s="137">
        <f t="shared" si="78"/>
        <v>0.8</v>
      </c>
      <c r="K319" s="137">
        <f t="shared" si="78"/>
        <v>90</v>
      </c>
      <c r="L319" s="141">
        <f t="shared" si="78"/>
        <v>2</v>
      </c>
      <c r="M319" s="141">
        <f t="shared" si="78"/>
        <v>0.15</v>
      </c>
      <c r="N319" s="137">
        <f t="shared" si="78"/>
        <v>940.5</v>
      </c>
      <c r="O319" s="45">
        <f t="shared" si="78"/>
        <v>0</v>
      </c>
      <c r="P319" s="137">
        <f t="shared" si="78"/>
        <v>0</v>
      </c>
      <c r="Q319" s="167">
        <f t="shared" si="78"/>
        <v>0</v>
      </c>
      <c r="R319" s="137">
        <f t="shared" si="78"/>
        <v>0</v>
      </c>
      <c r="S319" s="137">
        <f t="shared" si="78"/>
        <v>0</v>
      </c>
      <c r="T319" s="137">
        <f t="shared" si="78"/>
        <v>6.2</v>
      </c>
      <c r="U319" s="137">
        <f t="shared" si="78"/>
        <v>1043.9950284000001</v>
      </c>
    </row>
    <row r="320" spans="1:21" ht="15" outlineLevel="2">
      <c r="A320" s="6" t="s">
        <v>356</v>
      </c>
      <c r="B320" s="7" t="s">
        <v>92</v>
      </c>
      <c r="C320" s="7" t="s">
        <v>93</v>
      </c>
      <c r="D320" s="8" t="s">
        <v>357</v>
      </c>
      <c r="E320" s="42" t="s">
        <v>355</v>
      </c>
      <c r="F320" s="39" t="s">
        <v>53</v>
      </c>
      <c r="G320" s="24" t="s">
        <v>62</v>
      </c>
      <c r="H320" s="136">
        <v>1109.5844788000004</v>
      </c>
      <c r="I320" s="149">
        <v>3360</v>
      </c>
      <c r="J320" s="136">
        <f>I320*$J$1</f>
        <v>336</v>
      </c>
      <c r="K320" s="136">
        <v>15</v>
      </c>
      <c r="L320" s="139"/>
      <c r="M320" s="139"/>
      <c r="N320" s="136"/>
      <c r="O320" s="11"/>
      <c r="P320" s="136"/>
      <c r="Q320" s="140"/>
      <c r="R320" s="136"/>
      <c r="S320" s="136"/>
      <c r="T320" s="136"/>
      <c r="U320" s="136">
        <f aca="true" t="shared" si="79" ref="U320:U326">H320+J320+K320+N320+P320+R320+S320+T320</f>
        <v>1460.5844788000004</v>
      </c>
    </row>
    <row r="321" spans="1:21" ht="15" outlineLevel="2">
      <c r="A321" s="6" t="s">
        <v>356</v>
      </c>
      <c r="B321" s="7" t="s">
        <v>92</v>
      </c>
      <c r="C321" s="7" t="s">
        <v>93</v>
      </c>
      <c r="D321" s="8" t="s">
        <v>357</v>
      </c>
      <c r="E321" s="42" t="s">
        <v>355</v>
      </c>
      <c r="F321" s="39" t="s">
        <v>53</v>
      </c>
      <c r="G321" s="24" t="s">
        <v>63</v>
      </c>
      <c r="H321" s="136">
        <v>112.56720999999999</v>
      </c>
      <c r="I321" s="149">
        <v>47</v>
      </c>
      <c r="J321" s="136">
        <f>I321*$J$2</f>
        <v>2.82</v>
      </c>
      <c r="K321" s="136">
        <v>0</v>
      </c>
      <c r="L321" s="139"/>
      <c r="M321" s="139"/>
      <c r="N321" s="136"/>
      <c r="O321" s="11"/>
      <c r="P321" s="136"/>
      <c r="Q321" s="140"/>
      <c r="R321" s="136"/>
      <c r="S321" s="136"/>
      <c r="T321" s="136"/>
      <c r="U321" s="136">
        <f t="shared" si="79"/>
        <v>115.38720999999998</v>
      </c>
    </row>
    <row r="322" spans="1:21" ht="15" outlineLevel="2">
      <c r="A322" s="6" t="s">
        <v>356</v>
      </c>
      <c r="B322" s="7" t="s">
        <v>92</v>
      </c>
      <c r="C322" s="7" t="s">
        <v>93</v>
      </c>
      <c r="D322" s="8" t="s">
        <v>357</v>
      </c>
      <c r="E322" s="42" t="s">
        <v>355</v>
      </c>
      <c r="F322" s="39" t="s">
        <v>53</v>
      </c>
      <c r="G322" s="24" t="s">
        <v>64</v>
      </c>
      <c r="H322" s="136">
        <v>104.03475180000002</v>
      </c>
      <c r="I322" s="149">
        <v>86</v>
      </c>
      <c r="J322" s="136">
        <f>I322*$J$2</f>
        <v>5.16</v>
      </c>
      <c r="K322" s="136">
        <v>0</v>
      </c>
      <c r="L322" s="139"/>
      <c r="M322" s="139"/>
      <c r="N322" s="136"/>
      <c r="O322" s="11"/>
      <c r="P322" s="136"/>
      <c r="Q322" s="140"/>
      <c r="R322" s="136"/>
      <c r="S322" s="136"/>
      <c r="T322" s="136"/>
      <c r="U322" s="136">
        <f t="shared" si="79"/>
        <v>109.19475180000002</v>
      </c>
    </row>
    <row r="323" spans="1:21" ht="15" outlineLevel="2">
      <c r="A323" s="6" t="s">
        <v>356</v>
      </c>
      <c r="B323" s="7" t="s">
        <v>92</v>
      </c>
      <c r="C323" s="7" t="s">
        <v>93</v>
      </c>
      <c r="D323" s="8" t="s">
        <v>357</v>
      </c>
      <c r="E323" s="42" t="s">
        <v>355</v>
      </c>
      <c r="F323" s="39" t="s">
        <v>53</v>
      </c>
      <c r="G323" s="24" t="s">
        <v>65</v>
      </c>
      <c r="H323" s="136">
        <v>482.07078079999997</v>
      </c>
      <c r="I323" s="149">
        <v>1037</v>
      </c>
      <c r="J323" s="136">
        <f>I323*$J$2</f>
        <v>62.22</v>
      </c>
      <c r="K323" s="136">
        <v>120</v>
      </c>
      <c r="L323" s="139"/>
      <c r="M323" s="139"/>
      <c r="N323" s="136"/>
      <c r="O323" s="11"/>
      <c r="P323" s="136"/>
      <c r="Q323" s="140"/>
      <c r="R323" s="136"/>
      <c r="S323" s="136"/>
      <c r="T323" s="136"/>
      <c r="U323" s="136">
        <f t="shared" si="79"/>
        <v>664.2907808</v>
      </c>
    </row>
    <row r="324" spans="1:21" ht="15" outlineLevel="2">
      <c r="A324" s="6" t="s">
        <v>356</v>
      </c>
      <c r="B324" s="7" t="s">
        <v>92</v>
      </c>
      <c r="C324" s="7" t="s">
        <v>93</v>
      </c>
      <c r="D324" s="8" t="s">
        <v>357</v>
      </c>
      <c r="E324" s="42" t="s">
        <v>355</v>
      </c>
      <c r="F324" s="39" t="s">
        <v>53</v>
      </c>
      <c r="G324" s="24" t="s">
        <v>66</v>
      </c>
      <c r="H324" s="136">
        <v>53.230081799999994</v>
      </c>
      <c r="I324" s="149">
        <v>73</v>
      </c>
      <c r="J324" s="136">
        <f>I324*$J$2</f>
        <v>4.38</v>
      </c>
      <c r="K324" s="136">
        <v>45</v>
      </c>
      <c r="L324" s="139"/>
      <c r="M324" s="139"/>
      <c r="N324" s="136"/>
      <c r="O324" s="11"/>
      <c r="P324" s="136"/>
      <c r="Q324" s="140"/>
      <c r="R324" s="136"/>
      <c r="S324" s="136"/>
      <c r="T324" s="136"/>
      <c r="U324" s="136">
        <f t="shared" si="79"/>
        <v>102.61008179999999</v>
      </c>
    </row>
    <row r="325" spans="1:21" ht="15" outlineLevel="2">
      <c r="A325" s="6" t="str">
        <f>A324</f>
        <v>M478</v>
      </c>
      <c r="B325" s="11" t="str">
        <f>B324</f>
        <v>DOH-CHS</v>
      </c>
      <c r="C325" s="11" t="str">
        <f>C324</f>
        <v>COMM. HEALTH SERVICES</v>
      </c>
      <c r="D325" s="13" t="str">
        <f>D324</f>
        <v>404710</v>
      </c>
      <c r="E325" s="24" t="str">
        <f>E324</f>
        <v>40-47</v>
      </c>
      <c r="F325" s="39" t="s">
        <v>585</v>
      </c>
      <c r="G325" s="24" t="s">
        <v>585</v>
      </c>
      <c r="H325" s="136"/>
      <c r="I325" s="149"/>
      <c r="J325" s="136"/>
      <c r="K325" s="136"/>
      <c r="L325" s="139">
        <v>1</v>
      </c>
      <c r="M325" s="139">
        <v>0.4</v>
      </c>
      <c r="N325" s="136">
        <f>L325*M325*$N$2</f>
        <v>1254</v>
      </c>
      <c r="O325" s="11"/>
      <c r="P325" s="136"/>
      <c r="Q325" s="140"/>
      <c r="R325" s="136"/>
      <c r="S325" s="136"/>
      <c r="T325" s="136"/>
      <c r="U325" s="136">
        <f t="shared" si="79"/>
        <v>1254</v>
      </c>
    </row>
    <row r="326" spans="1:21" ht="15" outlineLevel="2">
      <c r="A326" s="6" t="str">
        <f>A324</f>
        <v>M478</v>
      </c>
      <c r="B326" s="11" t="str">
        <f>B324</f>
        <v>DOH-CHS</v>
      </c>
      <c r="C326" s="11" t="str">
        <f>C324</f>
        <v>COMM. HEALTH SERVICES</v>
      </c>
      <c r="D326" s="13" t="str">
        <f>D324</f>
        <v>404710</v>
      </c>
      <c r="E326" s="24" t="str">
        <f>E324</f>
        <v>40-47</v>
      </c>
      <c r="F326" s="39" t="s">
        <v>615</v>
      </c>
      <c r="G326" s="24" t="s">
        <v>615</v>
      </c>
      <c r="H326" s="136"/>
      <c r="I326" s="149"/>
      <c r="J326" s="136"/>
      <c r="K326" s="136"/>
      <c r="L326" s="139"/>
      <c r="M326" s="139"/>
      <c r="N326" s="136"/>
      <c r="O326" s="34">
        <v>1</v>
      </c>
      <c r="P326" s="136">
        <f>O326*$P$2</f>
        <v>72</v>
      </c>
      <c r="Q326" s="140"/>
      <c r="R326" s="136"/>
      <c r="S326" s="136"/>
      <c r="T326" s="136"/>
      <c r="U326" s="136">
        <f t="shared" si="79"/>
        <v>72</v>
      </c>
    </row>
    <row r="327" spans="1:21" s="5" customFormat="1" ht="15.75" outlineLevel="1">
      <c r="A327" s="1" t="s">
        <v>930</v>
      </c>
      <c r="B327" s="172"/>
      <c r="C327" s="2"/>
      <c r="D327" s="19"/>
      <c r="E327" s="44"/>
      <c r="F327" s="51"/>
      <c r="G327" s="2"/>
      <c r="H327" s="137">
        <f aca="true" t="shared" si="80" ref="H327:U327">SUBTOTAL(9,H320:H326)</f>
        <v>1861.4873032000005</v>
      </c>
      <c r="I327" s="144">
        <f t="shared" si="80"/>
        <v>4603</v>
      </c>
      <c r="J327" s="137">
        <f t="shared" si="80"/>
        <v>410.58000000000004</v>
      </c>
      <c r="K327" s="137">
        <f t="shared" si="80"/>
        <v>180</v>
      </c>
      <c r="L327" s="141">
        <f t="shared" si="80"/>
        <v>1</v>
      </c>
      <c r="M327" s="141">
        <f t="shared" si="80"/>
        <v>0.4</v>
      </c>
      <c r="N327" s="137">
        <f t="shared" si="80"/>
        <v>1254</v>
      </c>
      <c r="O327" s="45">
        <f t="shared" si="80"/>
        <v>1</v>
      </c>
      <c r="P327" s="137">
        <f t="shared" si="80"/>
        <v>72</v>
      </c>
      <c r="Q327" s="167">
        <f t="shared" si="80"/>
        <v>0</v>
      </c>
      <c r="R327" s="137">
        <f t="shared" si="80"/>
        <v>0</v>
      </c>
      <c r="S327" s="137">
        <f t="shared" si="80"/>
        <v>0</v>
      </c>
      <c r="T327" s="137">
        <f t="shared" si="80"/>
        <v>0</v>
      </c>
      <c r="U327" s="137">
        <f t="shared" si="80"/>
        <v>3778.0673032</v>
      </c>
    </row>
    <row r="328" spans="1:21" ht="15" outlineLevel="2">
      <c r="A328" s="6" t="s">
        <v>358</v>
      </c>
      <c r="B328" s="7" t="s">
        <v>92</v>
      </c>
      <c r="C328" s="7" t="s">
        <v>93</v>
      </c>
      <c r="D328" s="8" t="s">
        <v>359</v>
      </c>
      <c r="E328" s="42" t="s">
        <v>355</v>
      </c>
      <c r="F328" s="39" t="s">
        <v>53</v>
      </c>
      <c r="G328" s="24" t="s">
        <v>62</v>
      </c>
      <c r="H328" s="136">
        <v>188.8643945999999</v>
      </c>
      <c r="I328" s="149">
        <v>567</v>
      </c>
      <c r="J328" s="136">
        <f>I328*$J$1</f>
        <v>56.7</v>
      </c>
      <c r="K328" s="136">
        <v>15</v>
      </c>
      <c r="L328" s="139"/>
      <c r="M328" s="139"/>
      <c r="N328" s="136"/>
      <c r="O328" s="11"/>
      <c r="P328" s="136"/>
      <c r="Q328" s="140"/>
      <c r="R328" s="136"/>
      <c r="S328" s="136"/>
      <c r="T328" s="136"/>
      <c r="U328" s="136">
        <f aca="true" t="shared" si="81" ref="U328:U334">H328+J328+K328+N328+P328+R328+S328+T328</f>
        <v>260.5643945999999</v>
      </c>
    </row>
    <row r="329" spans="1:21" ht="15" outlineLevel="2">
      <c r="A329" s="6" t="s">
        <v>358</v>
      </c>
      <c r="B329" s="7" t="s">
        <v>92</v>
      </c>
      <c r="C329" s="7" t="s">
        <v>93</v>
      </c>
      <c r="D329" s="8" t="s">
        <v>359</v>
      </c>
      <c r="E329" s="42" t="s">
        <v>355</v>
      </c>
      <c r="F329" s="39" t="s">
        <v>53</v>
      </c>
      <c r="G329" s="24" t="s">
        <v>63</v>
      </c>
      <c r="H329" s="136">
        <v>33.6265048</v>
      </c>
      <c r="I329" s="149">
        <v>18</v>
      </c>
      <c r="J329" s="136">
        <f>I329*$J$2</f>
        <v>1.08</v>
      </c>
      <c r="K329" s="136">
        <v>0</v>
      </c>
      <c r="L329" s="139"/>
      <c r="M329" s="139"/>
      <c r="N329" s="136"/>
      <c r="O329" s="11"/>
      <c r="P329" s="136"/>
      <c r="Q329" s="140"/>
      <c r="R329" s="136"/>
      <c r="S329" s="136"/>
      <c r="T329" s="136"/>
      <c r="U329" s="136">
        <f t="shared" si="81"/>
        <v>34.7065048</v>
      </c>
    </row>
    <row r="330" spans="1:21" ht="15" outlineLevel="2">
      <c r="A330" s="6" t="s">
        <v>358</v>
      </c>
      <c r="B330" s="7" t="s">
        <v>92</v>
      </c>
      <c r="C330" s="7" t="s">
        <v>93</v>
      </c>
      <c r="D330" s="8" t="s">
        <v>359</v>
      </c>
      <c r="E330" s="42" t="s">
        <v>355</v>
      </c>
      <c r="F330" s="39" t="s">
        <v>53</v>
      </c>
      <c r="G330" s="24" t="s">
        <v>64</v>
      </c>
      <c r="H330" s="136">
        <v>53.630647</v>
      </c>
      <c r="I330" s="149">
        <v>42</v>
      </c>
      <c r="J330" s="136">
        <f>I330*$J$2</f>
        <v>2.52</v>
      </c>
      <c r="K330" s="136">
        <v>0</v>
      </c>
      <c r="L330" s="139"/>
      <c r="M330" s="139"/>
      <c r="N330" s="136"/>
      <c r="O330" s="11"/>
      <c r="P330" s="136"/>
      <c r="Q330" s="140"/>
      <c r="R330" s="136"/>
      <c r="S330" s="136"/>
      <c r="T330" s="136"/>
      <c r="U330" s="136">
        <f t="shared" si="81"/>
        <v>56.150647000000006</v>
      </c>
    </row>
    <row r="331" spans="1:21" ht="15" outlineLevel="2">
      <c r="A331" s="6" t="s">
        <v>358</v>
      </c>
      <c r="B331" s="7" t="s">
        <v>92</v>
      </c>
      <c r="C331" s="7" t="s">
        <v>93</v>
      </c>
      <c r="D331" s="8" t="s">
        <v>359</v>
      </c>
      <c r="E331" s="42" t="s">
        <v>355</v>
      </c>
      <c r="F331" s="39" t="s">
        <v>53</v>
      </c>
      <c r="G331" s="24" t="s">
        <v>65</v>
      </c>
      <c r="H331" s="136">
        <v>283.3505947999997</v>
      </c>
      <c r="I331" s="149">
        <v>585</v>
      </c>
      <c r="J331" s="136">
        <f>I331*$J$2</f>
        <v>35.1</v>
      </c>
      <c r="K331" s="136">
        <v>165</v>
      </c>
      <c r="L331" s="139"/>
      <c r="M331" s="139"/>
      <c r="N331" s="136"/>
      <c r="O331" s="11"/>
      <c r="P331" s="136"/>
      <c r="Q331" s="140"/>
      <c r="R331" s="136"/>
      <c r="S331" s="136"/>
      <c r="T331" s="136"/>
      <c r="U331" s="136">
        <f t="shared" si="81"/>
        <v>483.45059479999975</v>
      </c>
    </row>
    <row r="332" spans="1:21" ht="15" outlineLevel="2">
      <c r="A332" s="6" t="s">
        <v>358</v>
      </c>
      <c r="B332" s="7" t="s">
        <v>92</v>
      </c>
      <c r="C332" s="7" t="s">
        <v>93</v>
      </c>
      <c r="D332" s="8" t="s">
        <v>359</v>
      </c>
      <c r="E332" s="42" t="s">
        <v>355</v>
      </c>
      <c r="F332" s="39" t="s">
        <v>53</v>
      </c>
      <c r="G332" s="24" t="s">
        <v>66</v>
      </c>
      <c r="H332" s="136">
        <v>6.7404008</v>
      </c>
      <c r="I332" s="149">
        <v>6</v>
      </c>
      <c r="J332" s="136">
        <f>I332*$J$2</f>
        <v>0.36</v>
      </c>
      <c r="K332" s="136">
        <v>0</v>
      </c>
      <c r="L332" s="139"/>
      <c r="M332" s="139"/>
      <c r="N332" s="136"/>
      <c r="O332" s="11"/>
      <c r="P332" s="136"/>
      <c r="Q332" s="140"/>
      <c r="R332" s="136"/>
      <c r="S332" s="136"/>
      <c r="T332" s="136"/>
      <c r="U332" s="136">
        <f t="shared" si="81"/>
        <v>7.1004008</v>
      </c>
    </row>
    <row r="333" spans="1:21" ht="15" outlineLevel="2">
      <c r="A333" s="6" t="str">
        <f>A332</f>
        <v>M479</v>
      </c>
      <c r="B333" s="11" t="str">
        <f>B332</f>
        <v>DOH-CHS</v>
      </c>
      <c r="C333" s="11" t="str">
        <f>C332</f>
        <v>COMM. HEALTH SERVICES</v>
      </c>
      <c r="D333" s="13" t="str">
        <f>D332</f>
        <v>404730</v>
      </c>
      <c r="E333" s="24" t="str">
        <f>E332</f>
        <v>40-47</v>
      </c>
      <c r="F333" s="39" t="s">
        <v>585</v>
      </c>
      <c r="G333" s="24" t="s">
        <v>585</v>
      </c>
      <c r="H333" s="136"/>
      <c r="I333" s="149"/>
      <c r="J333" s="136"/>
      <c r="K333" s="136"/>
      <c r="L333" s="139">
        <v>1</v>
      </c>
      <c r="M333" s="139">
        <v>1</v>
      </c>
      <c r="N333" s="136">
        <f>L333*M333*$N$2</f>
        <v>3135</v>
      </c>
      <c r="O333" s="11"/>
      <c r="P333" s="136"/>
      <c r="Q333" s="140"/>
      <c r="R333" s="136"/>
      <c r="S333" s="136"/>
      <c r="T333" s="136"/>
      <c r="U333" s="136">
        <f t="shared" si="81"/>
        <v>3135</v>
      </c>
    </row>
    <row r="334" spans="1:21" ht="15" outlineLevel="2">
      <c r="A334" s="28" t="s">
        <v>358</v>
      </c>
      <c r="B334" s="11" t="str">
        <f>B333</f>
        <v>DOH-CHS</v>
      </c>
      <c r="C334" s="11" t="str">
        <f>C333</f>
        <v>COMM. HEALTH SERVICES</v>
      </c>
      <c r="D334" s="13" t="str">
        <f>D333</f>
        <v>404730</v>
      </c>
      <c r="E334" s="38" t="str">
        <f>E333</f>
        <v>40-47</v>
      </c>
      <c r="F334" s="20" t="s">
        <v>615</v>
      </c>
      <c r="G334" s="11" t="s">
        <v>615</v>
      </c>
      <c r="H334" s="136"/>
      <c r="I334" s="140"/>
      <c r="J334" s="136"/>
      <c r="K334" s="136"/>
      <c r="L334" s="139"/>
      <c r="M334" s="139"/>
      <c r="N334" s="136"/>
      <c r="O334" s="29">
        <v>0.75</v>
      </c>
      <c r="P334" s="136">
        <f>O334*$P$2</f>
        <v>54</v>
      </c>
      <c r="Q334" s="140"/>
      <c r="R334" s="136"/>
      <c r="S334" s="136"/>
      <c r="T334" s="136"/>
      <c r="U334" s="136">
        <f t="shared" si="81"/>
        <v>54</v>
      </c>
    </row>
    <row r="335" spans="1:21" s="5" customFormat="1" ht="15.75" outlineLevel="1">
      <c r="A335" s="1" t="s">
        <v>931</v>
      </c>
      <c r="B335" s="172"/>
      <c r="C335" s="2"/>
      <c r="D335" s="19"/>
      <c r="E335" s="44"/>
      <c r="F335" s="51"/>
      <c r="G335" s="2"/>
      <c r="H335" s="137">
        <f aca="true" t="shared" si="82" ref="H335:U335">SUBTOTAL(9,H328:H334)</f>
        <v>566.2125419999996</v>
      </c>
      <c r="I335" s="144">
        <f t="shared" si="82"/>
        <v>1218</v>
      </c>
      <c r="J335" s="137">
        <f t="shared" si="82"/>
        <v>95.76</v>
      </c>
      <c r="K335" s="137">
        <f t="shared" si="82"/>
        <v>180</v>
      </c>
      <c r="L335" s="141">
        <f t="shared" si="82"/>
        <v>1</v>
      </c>
      <c r="M335" s="141">
        <f t="shared" si="82"/>
        <v>1</v>
      </c>
      <c r="N335" s="137">
        <f t="shared" si="82"/>
        <v>3135</v>
      </c>
      <c r="O335" s="45">
        <f t="shared" si="82"/>
        <v>0.75</v>
      </c>
      <c r="P335" s="137">
        <f t="shared" si="82"/>
        <v>54</v>
      </c>
      <c r="Q335" s="167">
        <f t="shared" si="82"/>
        <v>0</v>
      </c>
      <c r="R335" s="137">
        <f t="shared" si="82"/>
        <v>0</v>
      </c>
      <c r="S335" s="137">
        <f t="shared" si="82"/>
        <v>0</v>
      </c>
      <c r="T335" s="137">
        <f t="shared" si="82"/>
        <v>0</v>
      </c>
      <c r="U335" s="137">
        <f t="shared" si="82"/>
        <v>4030.9725419999995</v>
      </c>
    </row>
    <row r="336" spans="1:21" ht="15" outlineLevel="2">
      <c r="A336" s="6" t="s">
        <v>360</v>
      </c>
      <c r="B336" s="7" t="s">
        <v>73</v>
      </c>
      <c r="C336" s="7" t="s">
        <v>74</v>
      </c>
      <c r="D336" s="8" t="s">
        <v>361</v>
      </c>
      <c r="E336" s="42" t="s">
        <v>125</v>
      </c>
      <c r="F336" s="39" t="s">
        <v>53</v>
      </c>
      <c r="G336" s="24" t="s">
        <v>62</v>
      </c>
      <c r="H336" s="136">
        <v>0.7854014</v>
      </c>
      <c r="I336" s="149">
        <v>2</v>
      </c>
      <c r="J336" s="136">
        <f>I336*$J$1</f>
        <v>0.2</v>
      </c>
      <c r="K336" s="136">
        <v>15</v>
      </c>
      <c r="L336" s="139"/>
      <c r="M336" s="139"/>
      <c r="N336" s="136"/>
      <c r="O336" s="11"/>
      <c r="P336" s="136"/>
      <c r="Q336" s="140"/>
      <c r="R336" s="136"/>
      <c r="S336" s="136"/>
      <c r="T336" s="136"/>
      <c r="U336" s="136">
        <f>H336+J336+K336+N336+P336+R336+S336+T336</f>
        <v>15.9854014</v>
      </c>
    </row>
    <row r="337" spans="1:21" ht="15" outlineLevel="2">
      <c r="A337" s="6" t="s">
        <v>360</v>
      </c>
      <c r="B337" s="7" t="s">
        <v>73</v>
      </c>
      <c r="C337" s="7" t="s">
        <v>74</v>
      </c>
      <c r="D337" s="8" t="s">
        <v>361</v>
      </c>
      <c r="E337" s="42" t="s">
        <v>125</v>
      </c>
      <c r="F337" s="39" t="s">
        <v>53</v>
      </c>
      <c r="G337" s="24" t="s">
        <v>65</v>
      </c>
      <c r="H337" s="136">
        <v>0.429926</v>
      </c>
      <c r="I337" s="149">
        <v>1</v>
      </c>
      <c r="J337" s="136">
        <f>I337*$J$2</f>
        <v>0.06</v>
      </c>
      <c r="K337" s="136">
        <v>15</v>
      </c>
      <c r="L337" s="139"/>
      <c r="M337" s="139"/>
      <c r="N337" s="136"/>
      <c r="O337" s="11"/>
      <c r="P337" s="136"/>
      <c r="Q337" s="140"/>
      <c r="R337" s="136"/>
      <c r="S337" s="136"/>
      <c r="T337" s="136"/>
      <c r="U337" s="136">
        <f>H337+J337+K337+N337+P337+R337+S337+T337</f>
        <v>15.489926</v>
      </c>
    </row>
    <row r="338" spans="1:21" s="5" customFormat="1" ht="15.75" outlineLevel="1">
      <c r="A338" s="1" t="s">
        <v>932</v>
      </c>
      <c r="B338" s="172"/>
      <c r="C338" s="2"/>
      <c r="D338" s="19"/>
      <c r="E338" s="44"/>
      <c r="F338" s="51"/>
      <c r="G338" s="2"/>
      <c r="H338" s="137">
        <f aca="true" t="shared" si="83" ref="H338:U338">SUBTOTAL(9,H336:H337)</f>
        <v>1.2153274</v>
      </c>
      <c r="I338" s="144">
        <f t="shared" si="83"/>
        <v>3</v>
      </c>
      <c r="J338" s="137">
        <f t="shared" si="83"/>
        <v>0.26</v>
      </c>
      <c r="K338" s="137">
        <f t="shared" si="83"/>
        <v>30</v>
      </c>
      <c r="L338" s="141">
        <f t="shared" si="83"/>
        <v>0</v>
      </c>
      <c r="M338" s="141">
        <f t="shared" si="83"/>
        <v>0</v>
      </c>
      <c r="N338" s="137">
        <f t="shared" si="83"/>
        <v>0</v>
      </c>
      <c r="O338" s="45">
        <f t="shared" si="83"/>
        <v>0</v>
      </c>
      <c r="P338" s="137">
        <f t="shared" si="83"/>
        <v>0</v>
      </c>
      <c r="Q338" s="167">
        <f t="shared" si="83"/>
        <v>0</v>
      </c>
      <c r="R338" s="137">
        <f t="shared" si="83"/>
        <v>0</v>
      </c>
      <c r="S338" s="137">
        <f t="shared" si="83"/>
        <v>0</v>
      </c>
      <c r="T338" s="137">
        <f t="shared" si="83"/>
        <v>0</v>
      </c>
      <c r="U338" s="137">
        <f t="shared" si="83"/>
        <v>31.4753274</v>
      </c>
    </row>
    <row r="339" spans="1:21" ht="15" outlineLevel="2">
      <c r="A339" s="6" t="s">
        <v>362</v>
      </c>
      <c r="B339" s="7" t="s">
        <v>92</v>
      </c>
      <c r="C339" s="7" t="s">
        <v>93</v>
      </c>
      <c r="D339" s="8" t="s">
        <v>363</v>
      </c>
      <c r="E339" s="42" t="s">
        <v>95</v>
      </c>
      <c r="F339" s="39" t="s">
        <v>53</v>
      </c>
      <c r="G339" s="24" t="s">
        <v>62</v>
      </c>
      <c r="H339" s="136">
        <v>162.307551</v>
      </c>
      <c r="I339" s="149">
        <v>492</v>
      </c>
      <c r="J339" s="136">
        <f>I339*$J$1</f>
        <v>49.2</v>
      </c>
      <c r="K339" s="136">
        <v>0</v>
      </c>
      <c r="L339" s="139"/>
      <c r="M339" s="139"/>
      <c r="N339" s="136"/>
      <c r="O339" s="11"/>
      <c r="P339" s="136"/>
      <c r="Q339" s="140"/>
      <c r="R339" s="136"/>
      <c r="S339" s="136"/>
      <c r="T339" s="136"/>
      <c r="U339" s="136">
        <f aca="true" t="shared" si="84" ref="U339:U345">H339+J339+K339+N339+P339+R339+S339+T339</f>
        <v>211.50755099999998</v>
      </c>
    </row>
    <row r="340" spans="1:21" ht="15" outlineLevel="2">
      <c r="A340" s="6" t="s">
        <v>362</v>
      </c>
      <c r="B340" s="7" t="s">
        <v>92</v>
      </c>
      <c r="C340" s="7" t="s">
        <v>93</v>
      </c>
      <c r="D340" s="8" t="s">
        <v>363</v>
      </c>
      <c r="E340" s="42" t="s">
        <v>95</v>
      </c>
      <c r="F340" s="39" t="s">
        <v>53</v>
      </c>
      <c r="G340" s="24" t="s">
        <v>63</v>
      </c>
      <c r="H340" s="136">
        <v>1547.953806</v>
      </c>
      <c r="I340" s="149">
        <v>986</v>
      </c>
      <c r="J340" s="136">
        <f>I340*$J$2</f>
        <v>59.16</v>
      </c>
      <c r="K340" s="136">
        <v>90</v>
      </c>
      <c r="L340" s="139"/>
      <c r="M340" s="139"/>
      <c r="N340" s="136"/>
      <c r="O340" s="11"/>
      <c r="P340" s="136"/>
      <c r="Q340" s="140"/>
      <c r="R340" s="136"/>
      <c r="S340" s="136"/>
      <c r="T340" s="136"/>
      <c r="U340" s="136">
        <f t="shared" si="84"/>
        <v>1697.113806</v>
      </c>
    </row>
    <row r="341" spans="1:21" ht="15" outlineLevel="2">
      <c r="A341" s="6" t="s">
        <v>362</v>
      </c>
      <c r="B341" s="7" t="s">
        <v>92</v>
      </c>
      <c r="C341" s="7" t="s">
        <v>93</v>
      </c>
      <c r="D341" s="8" t="s">
        <v>363</v>
      </c>
      <c r="E341" s="42" t="s">
        <v>95</v>
      </c>
      <c r="F341" s="39" t="s">
        <v>53</v>
      </c>
      <c r="G341" s="24" t="s">
        <v>64</v>
      </c>
      <c r="H341" s="136">
        <v>56.549949399999996</v>
      </c>
      <c r="I341" s="149">
        <v>52</v>
      </c>
      <c r="J341" s="136">
        <f>I341*$J$2</f>
        <v>3.12</v>
      </c>
      <c r="K341" s="136">
        <v>0</v>
      </c>
      <c r="L341" s="139"/>
      <c r="M341" s="139"/>
      <c r="N341" s="136"/>
      <c r="O341" s="11"/>
      <c r="P341" s="136"/>
      <c r="Q341" s="140"/>
      <c r="R341" s="136"/>
      <c r="S341" s="136"/>
      <c r="T341" s="136"/>
      <c r="U341" s="136">
        <f t="shared" si="84"/>
        <v>59.66994939999999</v>
      </c>
    </row>
    <row r="342" spans="1:21" ht="15" outlineLevel="2">
      <c r="A342" s="6" t="s">
        <v>362</v>
      </c>
      <c r="B342" s="7" t="s">
        <v>92</v>
      </c>
      <c r="C342" s="7" t="s">
        <v>93</v>
      </c>
      <c r="D342" s="8" t="s">
        <v>363</v>
      </c>
      <c r="E342" s="42" t="s">
        <v>95</v>
      </c>
      <c r="F342" s="39" t="s">
        <v>53</v>
      </c>
      <c r="G342" s="24" t="s">
        <v>65</v>
      </c>
      <c r="H342" s="136">
        <v>154.82159559999985</v>
      </c>
      <c r="I342" s="149">
        <v>331</v>
      </c>
      <c r="J342" s="136">
        <f>I342*$J$2</f>
        <v>19.86</v>
      </c>
      <c r="K342" s="136">
        <v>75</v>
      </c>
      <c r="L342" s="139"/>
      <c r="M342" s="139"/>
      <c r="N342" s="136"/>
      <c r="O342" s="11"/>
      <c r="P342" s="136"/>
      <c r="Q342" s="140"/>
      <c r="R342" s="136"/>
      <c r="S342" s="136"/>
      <c r="T342" s="136"/>
      <c r="U342" s="136">
        <f t="shared" si="84"/>
        <v>249.68159559999987</v>
      </c>
    </row>
    <row r="343" spans="1:21" ht="15" outlineLevel="2">
      <c r="A343" s="6" t="s">
        <v>362</v>
      </c>
      <c r="B343" s="7" t="s">
        <v>92</v>
      </c>
      <c r="C343" s="7" t="s">
        <v>93</v>
      </c>
      <c r="D343" s="8" t="s">
        <v>363</v>
      </c>
      <c r="E343" s="42" t="s">
        <v>95</v>
      </c>
      <c r="F343" s="39" t="s">
        <v>53</v>
      </c>
      <c r="G343" s="24" t="s">
        <v>66</v>
      </c>
      <c r="H343" s="136">
        <v>6.6072286</v>
      </c>
      <c r="I343" s="149">
        <v>7</v>
      </c>
      <c r="J343" s="136">
        <f>I343*$J$2</f>
        <v>0.42</v>
      </c>
      <c r="K343" s="136">
        <v>15</v>
      </c>
      <c r="L343" s="139"/>
      <c r="M343" s="139"/>
      <c r="N343" s="136"/>
      <c r="O343" s="11"/>
      <c r="P343" s="136"/>
      <c r="Q343" s="140"/>
      <c r="R343" s="136"/>
      <c r="S343" s="136"/>
      <c r="T343" s="136"/>
      <c r="U343" s="136">
        <f t="shared" si="84"/>
        <v>22.0272286</v>
      </c>
    </row>
    <row r="344" spans="1:21" ht="15" outlineLevel="2">
      <c r="A344" s="6" t="str">
        <f>A343</f>
        <v>M481</v>
      </c>
      <c r="B344" s="11" t="str">
        <f>B343</f>
        <v>DOH-CHS</v>
      </c>
      <c r="C344" s="11" t="str">
        <f>C343</f>
        <v>COMM. HEALTH SERVICES</v>
      </c>
      <c r="D344" s="13" t="str">
        <f>D343</f>
        <v>403700</v>
      </c>
      <c r="E344" s="24" t="str">
        <f>E343</f>
        <v>40-30</v>
      </c>
      <c r="F344" s="39" t="s">
        <v>585</v>
      </c>
      <c r="G344" s="24" t="s">
        <v>585</v>
      </c>
      <c r="H344" s="136"/>
      <c r="I344" s="149"/>
      <c r="J344" s="136"/>
      <c r="K344" s="136"/>
      <c r="L344" s="139">
        <v>1</v>
      </c>
      <c r="M344" s="139">
        <v>0.5</v>
      </c>
      <c r="N344" s="136">
        <f>L344*M344*$N$2</f>
        <v>1567.5</v>
      </c>
      <c r="O344" s="11"/>
      <c r="P344" s="136"/>
      <c r="Q344" s="140"/>
      <c r="R344" s="136"/>
      <c r="S344" s="136"/>
      <c r="T344" s="136"/>
      <c r="U344" s="136">
        <f t="shared" si="84"/>
        <v>1567.5</v>
      </c>
    </row>
    <row r="345" spans="1:21" ht="15" outlineLevel="2">
      <c r="A345" s="28" t="s">
        <v>362</v>
      </c>
      <c r="B345" s="11" t="str">
        <f>B344</f>
        <v>DOH-CHS</v>
      </c>
      <c r="C345" s="11" t="str">
        <f>C344</f>
        <v>COMM. HEALTH SERVICES</v>
      </c>
      <c r="D345" s="13" t="str">
        <f>D344</f>
        <v>403700</v>
      </c>
      <c r="E345" s="38" t="str">
        <f>E344</f>
        <v>40-30</v>
      </c>
      <c r="F345" s="20" t="s">
        <v>615</v>
      </c>
      <c r="G345" s="11" t="s">
        <v>615</v>
      </c>
      <c r="H345" s="136"/>
      <c r="I345" s="140"/>
      <c r="J345" s="136"/>
      <c r="K345" s="136"/>
      <c r="L345" s="139"/>
      <c r="M345" s="139"/>
      <c r="N345" s="136"/>
      <c r="O345" s="29">
        <v>0.75</v>
      </c>
      <c r="P345" s="136">
        <f>O345*$P$2</f>
        <v>54</v>
      </c>
      <c r="Q345" s="140"/>
      <c r="R345" s="136"/>
      <c r="S345" s="136"/>
      <c r="T345" s="136"/>
      <c r="U345" s="136">
        <f t="shared" si="84"/>
        <v>54</v>
      </c>
    </row>
    <row r="346" spans="1:21" s="5" customFormat="1" ht="15.75" outlineLevel="1">
      <c r="A346" s="1" t="s">
        <v>933</v>
      </c>
      <c r="B346" s="172"/>
      <c r="C346" s="2"/>
      <c r="D346" s="19"/>
      <c r="E346" s="44"/>
      <c r="F346" s="51"/>
      <c r="G346" s="2"/>
      <c r="H346" s="137">
        <f aca="true" t="shared" si="85" ref="H346:U346">SUBTOTAL(9,H339:H345)</f>
        <v>1928.2401306</v>
      </c>
      <c r="I346" s="144">
        <f t="shared" si="85"/>
        <v>1868</v>
      </c>
      <c r="J346" s="137">
        <f t="shared" si="85"/>
        <v>131.76</v>
      </c>
      <c r="K346" s="137">
        <f t="shared" si="85"/>
        <v>180</v>
      </c>
      <c r="L346" s="141">
        <f t="shared" si="85"/>
        <v>1</v>
      </c>
      <c r="M346" s="141">
        <f t="shared" si="85"/>
        <v>0.5</v>
      </c>
      <c r="N346" s="137">
        <f t="shared" si="85"/>
        <v>1567.5</v>
      </c>
      <c r="O346" s="45">
        <f t="shared" si="85"/>
        <v>0.75</v>
      </c>
      <c r="P346" s="137">
        <f t="shared" si="85"/>
        <v>54</v>
      </c>
      <c r="Q346" s="167">
        <f t="shared" si="85"/>
        <v>0</v>
      </c>
      <c r="R346" s="137">
        <f t="shared" si="85"/>
        <v>0</v>
      </c>
      <c r="S346" s="137">
        <f t="shared" si="85"/>
        <v>0</v>
      </c>
      <c r="T346" s="137">
        <f t="shared" si="85"/>
        <v>0</v>
      </c>
      <c r="U346" s="137">
        <f t="shared" si="85"/>
        <v>3861.5001306</v>
      </c>
    </row>
    <row r="347" spans="1:21" ht="15" outlineLevel="2">
      <c r="A347" s="6" t="s">
        <v>364</v>
      </c>
      <c r="B347" s="7" t="s">
        <v>92</v>
      </c>
      <c r="C347" s="7" t="s">
        <v>93</v>
      </c>
      <c r="D347" s="8" t="s">
        <v>365</v>
      </c>
      <c r="E347" s="42" t="s">
        <v>355</v>
      </c>
      <c r="F347" s="39" t="s">
        <v>53</v>
      </c>
      <c r="G347" s="24" t="s">
        <v>62</v>
      </c>
      <c r="H347" s="136">
        <v>63.466514999999994</v>
      </c>
      <c r="I347" s="149">
        <v>176</v>
      </c>
      <c r="J347" s="136">
        <f>I347*$J$1</f>
        <v>17.6</v>
      </c>
      <c r="K347" s="136">
        <v>45</v>
      </c>
      <c r="L347" s="139"/>
      <c r="M347" s="139"/>
      <c r="N347" s="136"/>
      <c r="O347" s="11"/>
      <c r="P347" s="136"/>
      <c r="Q347" s="140"/>
      <c r="R347" s="136"/>
      <c r="S347" s="136"/>
      <c r="T347" s="136"/>
      <c r="U347" s="136">
        <f aca="true" t="shared" si="86" ref="U347:U353">H347+J347+K347+N347+P347+R347+S347+T347</f>
        <v>126.066515</v>
      </c>
    </row>
    <row r="348" spans="1:21" ht="15" outlineLevel="2">
      <c r="A348" s="6" t="s">
        <v>364</v>
      </c>
      <c r="B348" s="7" t="s">
        <v>92</v>
      </c>
      <c r="C348" s="7" t="s">
        <v>93</v>
      </c>
      <c r="D348" s="8" t="s">
        <v>365</v>
      </c>
      <c r="E348" s="42" t="s">
        <v>355</v>
      </c>
      <c r="F348" s="39" t="s">
        <v>53</v>
      </c>
      <c r="G348" s="24" t="s">
        <v>63</v>
      </c>
      <c r="H348" s="136">
        <v>104.555906</v>
      </c>
      <c r="I348" s="149">
        <v>34</v>
      </c>
      <c r="J348" s="136">
        <f>I348*$J$2</f>
        <v>2.04</v>
      </c>
      <c r="K348" s="136">
        <v>0</v>
      </c>
      <c r="L348" s="139"/>
      <c r="M348" s="139"/>
      <c r="N348" s="136"/>
      <c r="O348" s="11"/>
      <c r="P348" s="136"/>
      <c r="Q348" s="140"/>
      <c r="R348" s="136"/>
      <c r="S348" s="136"/>
      <c r="T348" s="136"/>
      <c r="U348" s="136">
        <f t="shared" si="86"/>
        <v>106.595906</v>
      </c>
    </row>
    <row r="349" spans="1:21" ht="15" outlineLevel="2">
      <c r="A349" s="6" t="s">
        <v>364</v>
      </c>
      <c r="B349" s="7" t="s">
        <v>92</v>
      </c>
      <c r="C349" s="7" t="s">
        <v>93</v>
      </c>
      <c r="D349" s="8" t="s">
        <v>365</v>
      </c>
      <c r="E349" s="42" t="s">
        <v>355</v>
      </c>
      <c r="F349" s="39" t="s">
        <v>53</v>
      </c>
      <c r="G349" s="24" t="s">
        <v>64</v>
      </c>
      <c r="H349" s="136">
        <v>99.9798156</v>
      </c>
      <c r="I349" s="149">
        <v>71</v>
      </c>
      <c r="J349" s="136">
        <f>I349*$J$2</f>
        <v>4.26</v>
      </c>
      <c r="K349" s="136">
        <v>30</v>
      </c>
      <c r="L349" s="139"/>
      <c r="M349" s="139"/>
      <c r="N349" s="136"/>
      <c r="O349" s="11"/>
      <c r="P349" s="136"/>
      <c r="Q349" s="140"/>
      <c r="R349" s="136"/>
      <c r="S349" s="136"/>
      <c r="T349" s="136"/>
      <c r="U349" s="136">
        <f t="shared" si="86"/>
        <v>134.2398156</v>
      </c>
    </row>
    <row r="350" spans="1:21" ht="15" outlineLevel="2">
      <c r="A350" s="6" t="s">
        <v>364</v>
      </c>
      <c r="B350" s="7" t="s">
        <v>92</v>
      </c>
      <c r="C350" s="7" t="s">
        <v>93</v>
      </c>
      <c r="D350" s="8" t="s">
        <v>365</v>
      </c>
      <c r="E350" s="42" t="s">
        <v>355</v>
      </c>
      <c r="F350" s="39" t="s">
        <v>53</v>
      </c>
      <c r="G350" s="24" t="s">
        <v>65</v>
      </c>
      <c r="H350" s="136">
        <v>144.822146</v>
      </c>
      <c r="I350" s="149">
        <v>247</v>
      </c>
      <c r="J350" s="136">
        <f>I350*$J$2</f>
        <v>14.82</v>
      </c>
      <c r="K350" s="136">
        <v>90</v>
      </c>
      <c r="L350" s="139"/>
      <c r="M350" s="139"/>
      <c r="N350" s="136"/>
      <c r="O350" s="11"/>
      <c r="P350" s="136"/>
      <c r="Q350" s="140"/>
      <c r="R350" s="136"/>
      <c r="S350" s="136"/>
      <c r="T350" s="136"/>
      <c r="U350" s="136">
        <f t="shared" si="86"/>
        <v>249.642146</v>
      </c>
    </row>
    <row r="351" spans="1:21" ht="15" outlineLevel="2">
      <c r="A351" s="6" t="s">
        <v>364</v>
      </c>
      <c r="B351" s="7" t="s">
        <v>92</v>
      </c>
      <c r="C351" s="7" t="s">
        <v>93</v>
      </c>
      <c r="D351" s="8" t="s">
        <v>365</v>
      </c>
      <c r="E351" s="42" t="s">
        <v>355</v>
      </c>
      <c r="F351" s="39" t="s">
        <v>53</v>
      </c>
      <c r="G351" s="24" t="s">
        <v>66</v>
      </c>
      <c r="H351" s="136">
        <v>36.244859</v>
      </c>
      <c r="I351" s="149">
        <v>35</v>
      </c>
      <c r="J351" s="136">
        <f>I351*$J$2</f>
        <v>2.1</v>
      </c>
      <c r="K351" s="136">
        <v>15</v>
      </c>
      <c r="L351" s="139"/>
      <c r="M351" s="139"/>
      <c r="N351" s="136"/>
      <c r="O351" s="11"/>
      <c r="P351" s="136"/>
      <c r="Q351" s="140"/>
      <c r="R351" s="136"/>
      <c r="S351" s="136"/>
      <c r="T351" s="136"/>
      <c r="U351" s="136">
        <f t="shared" si="86"/>
        <v>53.344859</v>
      </c>
    </row>
    <row r="352" spans="1:21" ht="15" outlineLevel="2">
      <c r="A352" s="6" t="str">
        <f>A351</f>
        <v>M490</v>
      </c>
      <c r="B352" s="11" t="str">
        <f>B351</f>
        <v>DOH-CHS</v>
      </c>
      <c r="C352" s="11" t="str">
        <f>C351</f>
        <v>COMM. HEALTH SERVICES</v>
      </c>
      <c r="D352" s="13" t="str">
        <f>D351</f>
        <v>4CA35-1</v>
      </c>
      <c r="E352" s="24" t="str">
        <f>E351</f>
        <v>40-47</v>
      </c>
      <c r="F352" s="39" t="s">
        <v>585</v>
      </c>
      <c r="G352" s="24" t="s">
        <v>585</v>
      </c>
      <c r="H352" s="136"/>
      <c r="I352" s="149"/>
      <c r="J352" s="136"/>
      <c r="K352" s="136"/>
      <c r="L352" s="139">
        <v>1</v>
      </c>
      <c r="M352" s="139">
        <v>0.25</v>
      </c>
      <c r="N352" s="136">
        <f>L352*M352*$N$2</f>
        <v>783.75</v>
      </c>
      <c r="O352" s="11"/>
      <c r="P352" s="136"/>
      <c r="Q352" s="140"/>
      <c r="R352" s="136"/>
      <c r="S352" s="136"/>
      <c r="T352" s="136"/>
      <c r="U352" s="136">
        <f t="shared" si="86"/>
        <v>783.75</v>
      </c>
    </row>
    <row r="353" spans="1:21" ht="15" outlineLevel="2">
      <c r="A353" s="6" t="str">
        <f>A351</f>
        <v>M490</v>
      </c>
      <c r="B353" s="11" t="str">
        <f>B351</f>
        <v>DOH-CHS</v>
      </c>
      <c r="C353" s="11" t="str">
        <f>C351</f>
        <v>COMM. HEALTH SERVICES</v>
      </c>
      <c r="D353" s="13" t="str">
        <f>D351</f>
        <v>4CA35-1</v>
      </c>
      <c r="E353" s="24" t="str">
        <f>E351</f>
        <v>40-47</v>
      </c>
      <c r="F353" s="39" t="s">
        <v>615</v>
      </c>
      <c r="G353" s="24" t="s">
        <v>615</v>
      </c>
      <c r="H353" s="136"/>
      <c r="I353" s="149"/>
      <c r="J353" s="136"/>
      <c r="K353" s="136"/>
      <c r="L353" s="139"/>
      <c r="M353" s="139"/>
      <c r="N353" s="136"/>
      <c r="O353" s="34">
        <v>0.75</v>
      </c>
      <c r="P353" s="136">
        <f>O353*$P$2</f>
        <v>54</v>
      </c>
      <c r="Q353" s="140"/>
      <c r="R353" s="136"/>
      <c r="S353" s="136"/>
      <c r="T353" s="136"/>
      <c r="U353" s="136">
        <f t="shared" si="86"/>
        <v>54</v>
      </c>
    </row>
    <row r="354" spans="1:21" s="5" customFormat="1" ht="15.75" outlineLevel="1">
      <c r="A354" s="1" t="s">
        <v>934</v>
      </c>
      <c r="B354" s="172"/>
      <c r="C354" s="2"/>
      <c r="D354" s="19"/>
      <c r="E354" s="44"/>
      <c r="F354" s="51"/>
      <c r="G354" s="2"/>
      <c r="H354" s="137">
        <f aca="true" t="shared" si="87" ref="H354:U354">SUBTOTAL(9,H347:H353)</f>
        <v>449.06924159999994</v>
      </c>
      <c r="I354" s="144">
        <f t="shared" si="87"/>
        <v>563</v>
      </c>
      <c r="J354" s="137">
        <f t="shared" si="87"/>
        <v>40.82</v>
      </c>
      <c r="K354" s="137">
        <f t="shared" si="87"/>
        <v>180</v>
      </c>
      <c r="L354" s="141">
        <f t="shared" si="87"/>
        <v>1</v>
      </c>
      <c r="M354" s="141">
        <f t="shared" si="87"/>
        <v>0.25</v>
      </c>
      <c r="N354" s="137">
        <f t="shared" si="87"/>
        <v>783.75</v>
      </c>
      <c r="O354" s="45">
        <f t="shared" si="87"/>
        <v>0.75</v>
      </c>
      <c r="P354" s="137">
        <f t="shared" si="87"/>
        <v>54</v>
      </c>
      <c r="Q354" s="167">
        <f t="shared" si="87"/>
        <v>0</v>
      </c>
      <c r="R354" s="137">
        <f t="shared" si="87"/>
        <v>0</v>
      </c>
      <c r="S354" s="137">
        <f t="shared" si="87"/>
        <v>0</v>
      </c>
      <c r="T354" s="137">
        <f t="shared" si="87"/>
        <v>0</v>
      </c>
      <c r="U354" s="137">
        <f t="shared" si="87"/>
        <v>1507.6392415999999</v>
      </c>
    </row>
    <row r="355" spans="1:21" ht="15" outlineLevel="2">
      <c r="A355" s="6" t="s">
        <v>366</v>
      </c>
      <c r="B355" s="7" t="s">
        <v>92</v>
      </c>
      <c r="C355" s="7" t="s">
        <v>93</v>
      </c>
      <c r="D355" s="8">
        <v>404704</v>
      </c>
      <c r="E355" s="42" t="s">
        <v>355</v>
      </c>
      <c r="F355" s="39" t="s">
        <v>53</v>
      </c>
      <c r="G355" s="24" t="s">
        <v>62</v>
      </c>
      <c r="H355" s="136">
        <v>288.91027199999996</v>
      </c>
      <c r="I355" s="149">
        <v>878</v>
      </c>
      <c r="J355" s="136">
        <f>I355*$J$1</f>
        <v>87.80000000000001</v>
      </c>
      <c r="K355" s="136">
        <v>60</v>
      </c>
      <c r="L355" s="139"/>
      <c r="M355" s="139"/>
      <c r="N355" s="136"/>
      <c r="O355" s="11"/>
      <c r="P355" s="136"/>
      <c r="Q355" s="140"/>
      <c r="R355" s="136"/>
      <c r="S355" s="136"/>
      <c r="T355" s="136"/>
      <c r="U355" s="136">
        <f aca="true" t="shared" si="88" ref="U355:U361">H355+J355+K355+N355+P355+R355+S355+T355</f>
        <v>436.710272</v>
      </c>
    </row>
    <row r="356" spans="1:21" ht="15" outlineLevel="2">
      <c r="A356" s="6" t="s">
        <v>366</v>
      </c>
      <c r="B356" s="7" t="s">
        <v>92</v>
      </c>
      <c r="C356" s="7" t="s">
        <v>93</v>
      </c>
      <c r="D356" s="8">
        <v>404704</v>
      </c>
      <c r="E356" s="42" t="s">
        <v>355</v>
      </c>
      <c r="F356" s="39" t="s">
        <v>53</v>
      </c>
      <c r="G356" s="24" t="s">
        <v>63</v>
      </c>
      <c r="H356" s="136">
        <v>28.249284</v>
      </c>
      <c r="I356" s="149">
        <v>9</v>
      </c>
      <c r="J356" s="136">
        <f>I356*$J$2</f>
        <v>0.54</v>
      </c>
      <c r="K356" s="136">
        <v>0</v>
      </c>
      <c r="L356" s="139"/>
      <c r="M356" s="139"/>
      <c r="N356" s="136"/>
      <c r="O356" s="11"/>
      <c r="P356" s="136"/>
      <c r="Q356" s="140"/>
      <c r="R356" s="136"/>
      <c r="S356" s="136"/>
      <c r="T356" s="136"/>
      <c r="U356" s="136">
        <f t="shared" si="88"/>
        <v>28.789284</v>
      </c>
    </row>
    <row r="357" spans="1:21" ht="15" outlineLevel="2">
      <c r="A357" s="6" t="s">
        <v>366</v>
      </c>
      <c r="B357" s="7" t="s">
        <v>92</v>
      </c>
      <c r="C357" s="7" t="s">
        <v>93</v>
      </c>
      <c r="D357" s="8">
        <v>404704</v>
      </c>
      <c r="E357" s="42" t="s">
        <v>355</v>
      </c>
      <c r="F357" s="39" t="s">
        <v>53</v>
      </c>
      <c r="G357" s="24" t="s">
        <v>64</v>
      </c>
      <c r="H357" s="136">
        <v>9.047320799999998</v>
      </c>
      <c r="I357" s="149">
        <v>7</v>
      </c>
      <c r="J357" s="136">
        <f>I357*$J$2</f>
        <v>0.42</v>
      </c>
      <c r="K357" s="136">
        <v>0</v>
      </c>
      <c r="L357" s="139"/>
      <c r="M357" s="139"/>
      <c r="N357" s="136"/>
      <c r="O357" s="11"/>
      <c r="P357" s="136"/>
      <c r="Q357" s="140"/>
      <c r="R357" s="136"/>
      <c r="S357" s="136"/>
      <c r="T357" s="136"/>
      <c r="U357" s="136">
        <f t="shared" si="88"/>
        <v>9.467320799999998</v>
      </c>
    </row>
    <row r="358" spans="1:21" ht="15" outlineLevel="2">
      <c r="A358" s="6" t="s">
        <v>366</v>
      </c>
      <c r="B358" s="7" t="s">
        <v>92</v>
      </c>
      <c r="C358" s="7" t="s">
        <v>93</v>
      </c>
      <c r="D358" s="8">
        <v>404704</v>
      </c>
      <c r="E358" s="42" t="s">
        <v>355</v>
      </c>
      <c r="F358" s="39" t="s">
        <v>53</v>
      </c>
      <c r="G358" s="24" t="s">
        <v>65</v>
      </c>
      <c r="H358" s="136">
        <v>161.023016</v>
      </c>
      <c r="I358" s="149">
        <v>349</v>
      </c>
      <c r="J358" s="136">
        <f>I358*$J$2</f>
        <v>20.939999999999998</v>
      </c>
      <c r="K358" s="136">
        <v>120</v>
      </c>
      <c r="L358" s="139"/>
      <c r="M358" s="139"/>
      <c r="N358" s="136"/>
      <c r="O358" s="11"/>
      <c r="P358" s="136"/>
      <c r="Q358" s="140"/>
      <c r="R358" s="136"/>
      <c r="S358" s="136"/>
      <c r="T358" s="136"/>
      <c r="U358" s="136">
        <f t="shared" si="88"/>
        <v>301.96301600000004</v>
      </c>
    </row>
    <row r="359" spans="1:21" ht="15" outlineLevel="2">
      <c r="A359" s="6" t="s">
        <v>366</v>
      </c>
      <c r="B359" s="7" t="s">
        <v>92</v>
      </c>
      <c r="C359" s="7" t="s">
        <v>93</v>
      </c>
      <c r="D359" s="8">
        <v>404704</v>
      </c>
      <c r="E359" s="42" t="s">
        <v>355</v>
      </c>
      <c r="F359" s="39" t="s">
        <v>53</v>
      </c>
      <c r="G359" s="24" t="s">
        <v>66</v>
      </c>
      <c r="H359" s="136">
        <v>7.5184619999999995</v>
      </c>
      <c r="I359" s="149">
        <v>8</v>
      </c>
      <c r="J359" s="136">
        <f>I359*$J$2</f>
        <v>0.48</v>
      </c>
      <c r="K359" s="136">
        <v>0</v>
      </c>
      <c r="L359" s="139"/>
      <c r="M359" s="139"/>
      <c r="N359" s="136"/>
      <c r="O359" s="11"/>
      <c r="P359" s="136"/>
      <c r="Q359" s="140"/>
      <c r="R359" s="136"/>
      <c r="S359" s="136"/>
      <c r="T359" s="136"/>
      <c r="U359" s="136">
        <f t="shared" si="88"/>
        <v>7.998462</v>
      </c>
    </row>
    <row r="360" spans="1:21" ht="15" outlineLevel="2">
      <c r="A360" s="6" t="s">
        <v>366</v>
      </c>
      <c r="B360" s="7" t="s">
        <v>92</v>
      </c>
      <c r="C360" s="7" t="s">
        <v>93</v>
      </c>
      <c r="D360" s="8">
        <v>404704</v>
      </c>
      <c r="E360" s="42" t="s">
        <v>355</v>
      </c>
      <c r="F360" s="39" t="s">
        <v>53</v>
      </c>
      <c r="G360" s="24" t="s">
        <v>90</v>
      </c>
      <c r="H360" s="136">
        <v>0.3271632</v>
      </c>
      <c r="I360" s="149">
        <v>1</v>
      </c>
      <c r="J360" s="136">
        <f>I360*$J$2</f>
        <v>0.06</v>
      </c>
      <c r="K360" s="136">
        <v>0</v>
      </c>
      <c r="L360" s="139"/>
      <c r="M360" s="139"/>
      <c r="N360" s="136"/>
      <c r="O360" s="11"/>
      <c r="P360" s="136"/>
      <c r="Q360" s="140"/>
      <c r="R360" s="136"/>
      <c r="S360" s="136"/>
      <c r="T360" s="136"/>
      <c r="U360" s="136">
        <f t="shared" si="88"/>
        <v>0.3871632</v>
      </c>
    </row>
    <row r="361" spans="1:21" ht="15" outlineLevel="2">
      <c r="A361" s="6" t="str">
        <f>A360</f>
        <v>M492</v>
      </c>
      <c r="B361" s="11" t="str">
        <f>B360</f>
        <v>DOH-CHS</v>
      </c>
      <c r="C361" s="11" t="str">
        <f>C360</f>
        <v>COMM. HEALTH SERVICES</v>
      </c>
      <c r="D361" s="13">
        <f>D360</f>
        <v>404704</v>
      </c>
      <c r="E361" s="24" t="str">
        <f>E360</f>
        <v>40-47</v>
      </c>
      <c r="F361" s="39" t="s">
        <v>585</v>
      </c>
      <c r="G361" s="24" t="s">
        <v>585</v>
      </c>
      <c r="H361" s="136"/>
      <c r="I361" s="149"/>
      <c r="J361" s="136"/>
      <c r="K361" s="136"/>
      <c r="L361" s="139">
        <v>1</v>
      </c>
      <c r="M361" s="139">
        <v>0.25</v>
      </c>
      <c r="N361" s="136">
        <f>L361*M361*$N$2</f>
        <v>783.75</v>
      </c>
      <c r="O361" s="11"/>
      <c r="P361" s="136"/>
      <c r="Q361" s="140"/>
      <c r="R361" s="136"/>
      <c r="S361" s="136"/>
      <c r="T361" s="136"/>
      <c r="U361" s="136">
        <f t="shared" si="88"/>
        <v>783.75</v>
      </c>
    </row>
    <row r="362" spans="1:21" s="5" customFormat="1" ht="15.75" outlineLevel="1">
      <c r="A362" s="1" t="s">
        <v>935</v>
      </c>
      <c r="B362" s="172"/>
      <c r="C362" s="2"/>
      <c r="D362" s="19"/>
      <c r="E362" s="44"/>
      <c r="F362" s="51"/>
      <c r="G362" s="2"/>
      <c r="H362" s="137">
        <f aca="true" t="shared" si="89" ref="H362:U362">SUBTOTAL(9,H355:H361)</f>
        <v>495.075518</v>
      </c>
      <c r="I362" s="144">
        <f t="shared" si="89"/>
        <v>1252</v>
      </c>
      <c r="J362" s="137">
        <f t="shared" si="89"/>
        <v>110.24000000000002</v>
      </c>
      <c r="K362" s="137">
        <f t="shared" si="89"/>
        <v>180</v>
      </c>
      <c r="L362" s="141">
        <f t="shared" si="89"/>
        <v>1</v>
      </c>
      <c r="M362" s="141">
        <f t="shared" si="89"/>
        <v>0.25</v>
      </c>
      <c r="N362" s="137">
        <f t="shared" si="89"/>
        <v>783.75</v>
      </c>
      <c r="O362" s="45">
        <f t="shared" si="89"/>
        <v>0</v>
      </c>
      <c r="P362" s="137">
        <f t="shared" si="89"/>
        <v>0</v>
      </c>
      <c r="Q362" s="167">
        <f t="shared" si="89"/>
        <v>0</v>
      </c>
      <c r="R362" s="137">
        <f t="shared" si="89"/>
        <v>0</v>
      </c>
      <c r="S362" s="137">
        <f t="shared" si="89"/>
        <v>0</v>
      </c>
      <c r="T362" s="137">
        <f t="shared" si="89"/>
        <v>0</v>
      </c>
      <c r="U362" s="137">
        <f t="shared" si="89"/>
        <v>1569.065518</v>
      </c>
    </row>
    <row r="363" spans="1:21" ht="15" outlineLevel="2">
      <c r="A363" s="6" t="s">
        <v>367</v>
      </c>
      <c r="B363" s="7" t="s">
        <v>92</v>
      </c>
      <c r="C363" s="7" t="s">
        <v>112</v>
      </c>
      <c r="D363" s="8" t="s">
        <v>368</v>
      </c>
      <c r="E363" s="42" t="s">
        <v>114</v>
      </c>
      <c r="F363" s="39" t="s">
        <v>53</v>
      </c>
      <c r="G363" s="24" t="s">
        <v>62</v>
      </c>
      <c r="H363" s="136">
        <v>12.759364799999998</v>
      </c>
      <c r="I363" s="149">
        <v>39</v>
      </c>
      <c r="J363" s="136">
        <f>I363*$J$1</f>
        <v>3.9000000000000004</v>
      </c>
      <c r="K363" s="136">
        <v>15</v>
      </c>
      <c r="L363" s="139"/>
      <c r="M363" s="139"/>
      <c r="N363" s="136"/>
      <c r="O363" s="11"/>
      <c r="P363" s="136"/>
      <c r="Q363" s="140"/>
      <c r="R363" s="136"/>
      <c r="S363" s="136"/>
      <c r="T363" s="136"/>
      <c r="U363" s="136">
        <f aca="true" t="shared" si="90" ref="U363:U368">H363+J363+K363+N363+P363+R363+S363+T363</f>
        <v>31.6593648</v>
      </c>
    </row>
    <row r="364" spans="1:21" ht="15" outlineLevel="2">
      <c r="A364" s="6" t="s">
        <v>367</v>
      </c>
      <c r="B364" s="7" t="s">
        <v>92</v>
      </c>
      <c r="C364" s="7" t="s">
        <v>112</v>
      </c>
      <c r="D364" s="8" t="s">
        <v>368</v>
      </c>
      <c r="E364" s="42" t="s">
        <v>114</v>
      </c>
      <c r="F364" s="39" t="s">
        <v>53</v>
      </c>
      <c r="G364" s="24" t="s">
        <v>63</v>
      </c>
      <c r="H364" s="136">
        <v>13.065556</v>
      </c>
      <c r="I364" s="149">
        <v>5</v>
      </c>
      <c r="J364" s="136">
        <f>I364*$J$2</f>
        <v>0.3</v>
      </c>
      <c r="K364" s="136">
        <v>15</v>
      </c>
      <c r="L364" s="139"/>
      <c r="M364" s="139"/>
      <c r="N364" s="136"/>
      <c r="O364" s="11"/>
      <c r="P364" s="136"/>
      <c r="Q364" s="140"/>
      <c r="R364" s="136"/>
      <c r="S364" s="136"/>
      <c r="T364" s="136"/>
      <c r="U364" s="136">
        <f t="shared" si="90"/>
        <v>28.365556</v>
      </c>
    </row>
    <row r="365" spans="1:21" ht="15" outlineLevel="2">
      <c r="A365" s="6" t="s">
        <v>367</v>
      </c>
      <c r="B365" s="7" t="s">
        <v>92</v>
      </c>
      <c r="C365" s="7" t="s">
        <v>112</v>
      </c>
      <c r="D365" s="8" t="s">
        <v>368</v>
      </c>
      <c r="E365" s="42" t="s">
        <v>114</v>
      </c>
      <c r="F365" s="39" t="s">
        <v>53</v>
      </c>
      <c r="G365" s="24" t="s">
        <v>64</v>
      </c>
      <c r="H365" s="136">
        <v>3.638642</v>
      </c>
      <c r="I365" s="149">
        <v>2</v>
      </c>
      <c r="J365" s="136">
        <f>I365*$J$2</f>
        <v>0.12</v>
      </c>
      <c r="K365" s="136">
        <v>15</v>
      </c>
      <c r="L365" s="139"/>
      <c r="M365" s="139"/>
      <c r="N365" s="136"/>
      <c r="O365" s="11"/>
      <c r="P365" s="136"/>
      <c r="Q365" s="140"/>
      <c r="R365" s="136"/>
      <c r="S365" s="152"/>
      <c r="T365" s="152"/>
      <c r="U365" s="136">
        <f t="shared" si="90"/>
        <v>18.758642000000002</v>
      </c>
    </row>
    <row r="366" spans="1:21" ht="15" outlineLevel="2">
      <c r="A366" s="6" t="s">
        <v>367</v>
      </c>
      <c r="B366" s="7" t="s">
        <v>92</v>
      </c>
      <c r="C366" s="7" t="s">
        <v>112</v>
      </c>
      <c r="D366" s="8" t="s">
        <v>368</v>
      </c>
      <c r="E366" s="42" t="s">
        <v>114</v>
      </c>
      <c r="F366" s="39" t="s">
        <v>53</v>
      </c>
      <c r="G366" s="24" t="s">
        <v>65</v>
      </c>
      <c r="H366" s="136">
        <v>4.152456</v>
      </c>
      <c r="I366" s="149">
        <v>8</v>
      </c>
      <c r="J366" s="136">
        <f>I366*$J$2</f>
        <v>0.48</v>
      </c>
      <c r="K366" s="136">
        <v>45</v>
      </c>
      <c r="L366" s="139"/>
      <c r="M366" s="139"/>
      <c r="N366" s="136"/>
      <c r="O366" s="11"/>
      <c r="P366" s="136"/>
      <c r="Q366" s="140"/>
      <c r="R366" s="136"/>
      <c r="S366" s="152"/>
      <c r="T366" s="152"/>
      <c r="U366" s="136">
        <f t="shared" si="90"/>
        <v>49.632456</v>
      </c>
    </row>
    <row r="367" spans="1:21" ht="15" outlineLevel="2">
      <c r="A367" s="6" t="s">
        <v>367</v>
      </c>
      <c r="B367" s="7" t="s">
        <v>92</v>
      </c>
      <c r="C367" s="7" t="s">
        <v>112</v>
      </c>
      <c r="D367" s="8" t="s">
        <v>368</v>
      </c>
      <c r="E367" s="42" t="s">
        <v>114</v>
      </c>
      <c r="F367" s="39" t="s">
        <v>53</v>
      </c>
      <c r="G367" s="24" t="s">
        <v>66</v>
      </c>
      <c r="H367" s="136">
        <v>4.4030714</v>
      </c>
      <c r="I367" s="149">
        <v>5</v>
      </c>
      <c r="J367" s="136">
        <f>I367*$J$2</f>
        <v>0.3</v>
      </c>
      <c r="K367" s="136">
        <v>30</v>
      </c>
      <c r="L367" s="139"/>
      <c r="M367" s="139"/>
      <c r="N367" s="136"/>
      <c r="O367" s="11"/>
      <c r="P367" s="136"/>
      <c r="Q367" s="140"/>
      <c r="R367" s="136"/>
      <c r="S367" s="152"/>
      <c r="T367" s="152"/>
      <c r="U367" s="136">
        <f t="shared" si="90"/>
        <v>34.7030714</v>
      </c>
    </row>
    <row r="368" spans="1:21" ht="15" outlineLevel="2">
      <c r="A368" s="6" t="str">
        <f>A367</f>
        <v>M494</v>
      </c>
      <c r="B368" s="11" t="str">
        <f>B367</f>
        <v>DOH-CHS</v>
      </c>
      <c r="C368" s="11" t="str">
        <f>C367</f>
        <v>CHP3</v>
      </c>
      <c r="D368" s="13" t="str">
        <f>D367</f>
        <v>404708</v>
      </c>
      <c r="E368" s="24" t="str">
        <f>E367</f>
        <v>40-40</v>
      </c>
      <c r="F368" s="39" t="s">
        <v>585</v>
      </c>
      <c r="G368" s="24" t="s">
        <v>585</v>
      </c>
      <c r="H368" s="136"/>
      <c r="I368" s="149"/>
      <c r="J368" s="136"/>
      <c r="K368" s="136"/>
      <c r="L368" s="139">
        <v>1</v>
      </c>
      <c r="M368" s="139">
        <v>0.21</v>
      </c>
      <c r="N368" s="136">
        <f>L368*M368*$N$2</f>
        <v>658.35</v>
      </c>
      <c r="O368" s="11"/>
      <c r="P368" s="136"/>
      <c r="Q368" s="140"/>
      <c r="R368" s="136"/>
      <c r="S368" s="152"/>
      <c r="T368" s="152"/>
      <c r="U368" s="136">
        <f t="shared" si="90"/>
        <v>658.35</v>
      </c>
    </row>
    <row r="369" spans="1:21" s="5" customFormat="1" ht="15.75" outlineLevel="1">
      <c r="A369" s="1" t="s">
        <v>936</v>
      </c>
      <c r="B369" s="172"/>
      <c r="C369" s="2"/>
      <c r="D369" s="19"/>
      <c r="E369" s="44"/>
      <c r="F369" s="51"/>
      <c r="G369" s="2"/>
      <c r="H369" s="137">
        <f aca="true" t="shared" si="91" ref="H369:U369">SUBTOTAL(9,H363:H368)</f>
        <v>38.0190902</v>
      </c>
      <c r="I369" s="144">
        <f t="shared" si="91"/>
        <v>59</v>
      </c>
      <c r="J369" s="137">
        <f t="shared" si="91"/>
        <v>5.1000000000000005</v>
      </c>
      <c r="K369" s="137">
        <f t="shared" si="91"/>
        <v>120</v>
      </c>
      <c r="L369" s="141">
        <f t="shared" si="91"/>
        <v>1</v>
      </c>
      <c r="M369" s="141">
        <f t="shared" si="91"/>
        <v>0.21</v>
      </c>
      <c r="N369" s="137">
        <f t="shared" si="91"/>
        <v>658.35</v>
      </c>
      <c r="O369" s="45">
        <f t="shared" si="91"/>
        <v>0</v>
      </c>
      <c r="P369" s="137">
        <f t="shared" si="91"/>
        <v>0</v>
      </c>
      <c r="Q369" s="167">
        <f t="shared" si="91"/>
        <v>0</v>
      </c>
      <c r="R369" s="137">
        <f t="shared" si="91"/>
        <v>0</v>
      </c>
      <c r="S369" s="137">
        <f t="shared" si="91"/>
        <v>0</v>
      </c>
      <c r="T369" s="137">
        <f t="shared" si="91"/>
        <v>0</v>
      </c>
      <c r="U369" s="137">
        <f t="shared" si="91"/>
        <v>821.4690902</v>
      </c>
    </row>
    <row r="370" spans="1:21" ht="15" outlineLevel="2">
      <c r="A370" s="6" t="s">
        <v>403</v>
      </c>
      <c r="B370" s="7" t="s">
        <v>73</v>
      </c>
      <c r="C370" s="7" t="s">
        <v>74</v>
      </c>
      <c r="D370" s="8" t="s">
        <v>404</v>
      </c>
      <c r="E370" s="42" t="s">
        <v>125</v>
      </c>
      <c r="F370" s="39" t="s">
        <v>53</v>
      </c>
      <c r="G370" s="24" t="s">
        <v>62</v>
      </c>
      <c r="H370" s="136">
        <v>897.197889</v>
      </c>
      <c r="I370" s="149">
        <v>2624</v>
      </c>
      <c r="J370" s="136">
        <f>I370*$J$1</f>
        <v>262.40000000000003</v>
      </c>
      <c r="K370" s="136">
        <v>0</v>
      </c>
      <c r="L370" s="139"/>
      <c r="M370" s="139"/>
      <c r="N370" s="136"/>
      <c r="O370" s="11"/>
      <c r="P370" s="136"/>
      <c r="Q370" s="140"/>
      <c r="R370" s="136"/>
      <c r="S370" s="136"/>
      <c r="T370" s="136"/>
      <c r="U370" s="136">
        <f aca="true" t="shared" si="92" ref="U370:U379">H370+J370+K370+N370+P370+R370+S370+T370</f>
        <v>1159.5978890000001</v>
      </c>
    </row>
    <row r="371" spans="1:21" ht="15" outlineLevel="2">
      <c r="A371" s="6" t="s">
        <v>403</v>
      </c>
      <c r="B371" s="7" t="s">
        <v>73</v>
      </c>
      <c r="C371" s="7" t="s">
        <v>74</v>
      </c>
      <c r="D371" s="8" t="s">
        <v>404</v>
      </c>
      <c r="E371" s="42" t="s">
        <v>125</v>
      </c>
      <c r="F371" s="39" t="s">
        <v>53</v>
      </c>
      <c r="G371" s="24" t="s">
        <v>63</v>
      </c>
      <c r="H371" s="136">
        <v>2270.5797184000003</v>
      </c>
      <c r="I371" s="149">
        <v>660</v>
      </c>
      <c r="J371" s="136">
        <f>I371*$J$2</f>
        <v>39.6</v>
      </c>
      <c r="K371" s="136">
        <v>15</v>
      </c>
      <c r="L371" s="139"/>
      <c r="M371" s="139"/>
      <c r="N371" s="136"/>
      <c r="O371" s="11"/>
      <c r="P371" s="136"/>
      <c r="Q371" s="140"/>
      <c r="R371" s="136"/>
      <c r="S371" s="136"/>
      <c r="T371" s="136"/>
      <c r="U371" s="136">
        <f t="shared" si="92"/>
        <v>2325.1797184</v>
      </c>
    </row>
    <row r="372" spans="1:21" ht="15" outlineLevel="2">
      <c r="A372" s="6" t="s">
        <v>403</v>
      </c>
      <c r="B372" s="7" t="s">
        <v>73</v>
      </c>
      <c r="C372" s="7" t="s">
        <v>74</v>
      </c>
      <c r="D372" s="8" t="s">
        <v>404</v>
      </c>
      <c r="E372" s="42" t="s">
        <v>125</v>
      </c>
      <c r="F372" s="39" t="s">
        <v>53</v>
      </c>
      <c r="G372" s="24" t="s">
        <v>64</v>
      </c>
      <c r="H372" s="136">
        <v>3569.9628943999996</v>
      </c>
      <c r="I372" s="149">
        <v>2311</v>
      </c>
      <c r="J372" s="136">
        <f>I372*$J$2</f>
        <v>138.66</v>
      </c>
      <c r="K372" s="136">
        <v>30</v>
      </c>
      <c r="L372" s="139"/>
      <c r="M372" s="139"/>
      <c r="N372" s="136"/>
      <c r="O372" s="11"/>
      <c r="P372" s="136"/>
      <c r="Q372" s="140"/>
      <c r="R372" s="136"/>
      <c r="S372" s="136"/>
      <c r="T372" s="136"/>
      <c r="U372" s="136">
        <f t="shared" si="92"/>
        <v>3738.6228943999995</v>
      </c>
    </row>
    <row r="373" spans="1:21" ht="15" outlineLevel="2">
      <c r="A373" s="6" t="s">
        <v>403</v>
      </c>
      <c r="B373" s="7" t="s">
        <v>73</v>
      </c>
      <c r="C373" s="7" t="s">
        <v>74</v>
      </c>
      <c r="D373" s="8" t="s">
        <v>404</v>
      </c>
      <c r="E373" s="42" t="s">
        <v>125</v>
      </c>
      <c r="F373" s="39" t="s">
        <v>53</v>
      </c>
      <c r="G373" s="24" t="s">
        <v>65</v>
      </c>
      <c r="H373" s="136">
        <v>1006.8636228000003</v>
      </c>
      <c r="I373" s="149">
        <v>1940</v>
      </c>
      <c r="J373" s="136">
        <f>I373*$J$2</f>
        <v>116.39999999999999</v>
      </c>
      <c r="K373" s="136">
        <v>75</v>
      </c>
      <c r="L373" s="139"/>
      <c r="M373" s="139"/>
      <c r="N373" s="136"/>
      <c r="O373" s="11"/>
      <c r="P373" s="136"/>
      <c r="Q373" s="140"/>
      <c r="R373" s="136"/>
      <c r="S373" s="136"/>
      <c r="T373" s="136"/>
      <c r="U373" s="136">
        <f t="shared" si="92"/>
        <v>1198.2636228000003</v>
      </c>
    </row>
    <row r="374" spans="1:21" ht="15" outlineLevel="2">
      <c r="A374" s="6" t="s">
        <v>403</v>
      </c>
      <c r="B374" s="7" t="s">
        <v>73</v>
      </c>
      <c r="C374" s="7" t="s">
        <v>74</v>
      </c>
      <c r="D374" s="8" t="s">
        <v>404</v>
      </c>
      <c r="E374" s="42" t="s">
        <v>125</v>
      </c>
      <c r="F374" s="39" t="s">
        <v>53</v>
      </c>
      <c r="G374" s="24" t="s">
        <v>66</v>
      </c>
      <c r="H374" s="136">
        <v>1428.9765042000004</v>
      </c>
      <c r="I374" s="149">
        <v>1085</v>
      </c>
      <c r="J374" s="136">
        <f>I374*$J$2</f>
        <v>65.1</v>
      </c>
      <c r="K374" s="136">
        <v>60</v>
      </c>
      <c r="L374" s="139"/>
      <c r="M374" s="139"/>
      <c r="N374" s="136"/>
      <c r="O374" s="11"/>
      <c r="P374" s="136"/>
      <c r="Q374" s="140"/>
      <c r="R374" s="136"/>
      <c r="S374" s="136"/>
      <c r="T374" s="136"/>
      <c r="U374" s="136">
        <f t="shared" si="92"/>
        <v>1554.0765042000003</v>
      </c>
    </row>
    <row r="375" spans="1:21" ht="15" outlineLevel="2">
      <c r="A375" s="6" t="s">
        <v>403</v>
      </c>
      <c r="B375" s="7" t="s">
        <v>73</v>
      </c>
      <c r="C375" s="7" t="s">
        <v>74</v>
      </c>
      <c r="D375" s="8" t="s">
        <v>404</v>
      </c>
      <c r="E375" s="42" t="s">
        <v>125</v>
      </c>
      <c r="F375" s="39" t="s">
        <v>53</v>
      </c>
      <c r="G375" s="24" t="s">
        <v>90</v>
      </c>
      <c r="H375" s="136">
        <v>5.725356</v>
      </c>
      <c r="I375" s="149">
        <v>21</v>
      </c>
      <c r="J375" s="136">
        <f>I375*$J$2</f>
        <v>1.26</v>
      </c>
      <c r="K375" s="136">
        <v>0</v>
      </c>
      <c r="L375" s="139"/>
      <c r="M375" s="139"/>
      <c r="N375" s="136"/>
      <c r="O375" s="11"/>
      <c r="P375" s="136"/>
      <c r="Q375" s="140"/>
      <c r="R375" s="136"/>
      <c r="S375" s="136"/>
      <c r="T375" s="136"/>
      <c r="U375" s="136">
        <f t="shared" si="92"/>
        <v>6.9853559999999995</v>
      </c>
    </row>
    <row r="376" spans="1:21" ht="15" outlineLevel="2">
      <c r="A376" s="6" t="str">
        <f>A375</f>
        <v>M601</v>
      </c>
      <c r="B376" s="11" t="str">
        <f>B375</f>
        <v>DOH-ICS</v>
      </c>
      <c r="C376" s="11" t="str">
        <f>C375</f>
        <v>INTEGRATED CLINICAL SERVICES</v>
      </c>
      <c r="D376" s="13" t="str">
        <f>D375</f>
        <v>407750</v>
      </c>
      <c r="E376" s="24" t="str">
        <f>E375</f>
        <v>40-70</v>
      </c>
      <c r="F376" s="39" t="s">
        <v>585</v>
      </c>
      <c r="G376" s="24" t="s">
        <v>585</v>
      </c>
      <c r="H376" s="136"/>
      <c r="I376" s="149"/>
      <c r="J376" s="136"/>
      <c r="K376" s="136"/>
      <c r="L376" s="139">
        <v>6</v>
      </c>
      <c r="M376" s="139">
        <v>0.53</v>
      </c>
      <c r="N376" s="136">
        <f>L376*M376*$N$2</f>
        <v>9969.300000000001</v>
      </c>
      <c r="O376" s="11"/>
      <c r="P376" s="136"/>
      <c r="Q376" s="140"/>
      <c r="R376" s="136"/>
      <c r="S376" s="136"/>
      <c r="T376" s="136"/>
      <c r="U376" s="136">
        <f t="shared" si="92"/>
        <v>9969.300000000001</v>
      </c>
    </row>
    <row r="377" spans="1:21" ht="15" outlineLevel="2">
      <c r="A377" s="28" t="s">
        <v>403</v>
      </c>
      <c r="B377" s="11" t="str">
        <f aca="true" t="shared" si="93" ref="B377:E378">B376</f>
        <v>DOH-ICS</v>
      </c>
      <c r="C377" s="11" t="str">
        <f t="shared" si="93"/>
        <v>INTEGRATED CLINICAL SERVICES</v>
      </c>
      <c r="D377" s="13" t="str">
        <f t="shared" si="93"/>
        <v>407750</v>
      </c>
      <c r="E377" s="38" t="str">
        <f t="shared" si="93"/>
        <v>40-70</v>
      </c>
      <c r="F377" s="20" t="s">
        <v>615</v>
      </c>
      <c r="G377" s="11" t="s">
        <v>615</v>
      </c>
      <c r="H377" s="136"/>
      <c r="I377" s="140"/>
      <c r="J377" s="136"/>
      <c r="K377" s="136"/>
      <c r="L377" s="139"/>
      <c r="M377" s="139"/>
      <c r="N377" s="136"/>
      <c r="O377" s="29">
        <f>5.75+0.75</f>
        <v>6.5</v>
      </c>
      <c r="P377" s="136">
        <f>O377*$P$2</f>
        <v>468</v>
      </c>
      <c r="Q377" s="140"/>
      <c r="R377" s="136"/>
      <c r="S377" s="136"/>
      <c r="T377" s="136"/>
      <c r="U377" s="136">
        <f t="shared" si="92"/>
        <v>468</v>
      </c>
    </row>
    <row r="378" spans="1:21" ht="15" outlineLevel="2">
      <c r="A378" s="36" t="s">
        <v>665</v>
      </c>
      <c r="B378" s="11" t="str">
        <f t="shared" si="93"/>
        <v>DOH-ICS</v>
      </c>
      <c r="C378" s="11" t="str">
        <f t="shared" si="93"/>
        <v>INTEGRATED CLINICAL SERVICES</v>
      </c>
      <c r="D378" s="13" t="str">
        <f t="shared" si="93"/>
        <v>407750</v>
      </c>
      <c r="E378" s="27" t="str">
        <f t="shared" si="93"/>
        <v>40-70</v>
      </c>
      <c r="F378" s="20" t="s">
        <v>683</v>
      </c>
      <c r="G378" s="11" t="s">
        <v>683</v>
      </c>
      <c r="H378" s="136"/>
      <c r="I378" s="140"/>
      <c r="J378" s="136"/>
      <c r="K378" s="136"/>
      <c r="L378" s="139"/>
      <c r="M378" s="139"/>
      <c r="N378" s="136"/>
      <c r="O378" s="34"/>
      <c r="P378" s="136"/>
      <c r="Q378" s="140"/>
      <c r="R378" s="136"/>
      <c r="S378" s="136"/>
      <c r="T378" s="150">
        <f>21.45+46.6</f>
        <v>68.05</v>
      </c>
      <c r="U378" s="136">
        <f t="shared" si="92"/>
        <v>68.05</v>
      </c>
    </row>
    <row r="379" spans="1:21" ht="15" outlineLevel="2">
      <c r="A379" s="36" t="s">
        <v>665</v>
      </c>
      <c r="B379" s="11" t="str">
        <f>B377</f>
        <v>DOH-ICS</v>
      </c>
      <c r="C379" s="11" t="str">
        <f>C377</f>
        <v>INTEGRATED CLINICAL SERVICES</v>
      </c>
      <c r="D379" s="13" t="str">
        <f>D377</f>
        <v>407750</v>
      </c>
      <c r="E379" s="27" t="str">
        <f>E377</f>
        <v>40-70</v>
      </c>
      <c r="F379" s="20" t="s">
        <v>584</v>
      </c>
      <c r="G379" s="11" t="s">
        <v>584</v>
      </c>
      <c r="H379" s="136"/>
      <c r="I379" s="140"/>
      <c r="J379" s="136"/>
      <c r="K379" s="136"/>
      <c r="L379" s="139"/>
      <c r="M379" s="139"/>
      <c r="N379" s="136"/>
      <c r="O379" s="34"/>
      <c r="P379" s="136"/>
      <c r="Q379" s="140">
        <v>886</v>
      </c>
      <c r="R379" s="136">
        <v>79</v>
      </c>
      <c r="S379" s="136">
        <f>Q379*$S$2</f>
        <v>8.86</v>
      </c>
      <c r="T379" s="150"/>
      <c r="U379" s="136">
        <f t="shared" si="92"/>
        <v>87.86</v>
      </c>
    </row>
    <row r="380" spans="1:21" s="5" customFormat="1" ht="15.75" outlineLevel="1">
      <c r="A380" s="1" t="s">
        <v>937</v>
      </c>
      <c r="B380" s="172"/>
      <c r="C380" s="2"/>
      <c r="D380" s="19"/>
      <c r="E380" s="44"/>
      <c r="F380" s="51"/>
      <c r="G380" s="2"/>
      <c r="H380" s="137">
        <f aca="true" t="shared" si="94" ref="H380:U380">SUBTOTAL(9,H370:H379)</f>
        <v>9179.305984800001</v>
      </c>
      <c r="I380" s="144">
        <f t="shared" si="94"/>
        <v>8641</v>
      </c>
      <c r="J380" s="137">
        <f t="shared" si="94"/>
        <v>623.4200000000001</v>
      </c>
      <c r="K380" s="137">
        <f t="shared" si="94"/>
        <v>180</v>
      </c>
      <c r="L380" s="141">
        <f t="shared" si="94"/>
        <v>6</v>
      </c>
      <c r="M380" s="141">
        <f t="shared" si="94"/>
        <v>0.53</v>
      </c>
      <c r="N380" s="137">
        <f t="shared" si="94"/>
        <v>9969.300000000001</v>
      </c>
      <c r="O380" s="45">
        <f t="shared" si="94"/>
        <v>6.5</v>
      </c>
      <c r="P380" s="137">
        <f t="shared" si="94"/>
        <v>468</v>
      </c>
      <c r="Q380" s="167">
        <f t="shared" si="94"/>
        <v>886</v>
      </c>
      <c r="R380" s="137">
        <f t="shared" si="94"/>
        <v>79</v>
      </c>
      <c r="S380" s="137">
        <f t="shared" si="94"/>
        <v>8.86</v>
      </c>
      <c r="T380" s="137">
        <f t="shared" si="94"/>
        <v>68.05</v>
      </c>
      <c r="U380" s="137">
        <f t="shared" si="94"/>
        <v>20575.9359848</v>
      </c>
    </row>
    <row r="381" spans="1:21" ht="15" outlineLevel="2">
      <c r="A381" s="6" t="s">
        <v>409</v>
      </c>
      <c r="B381" s="7" t="s">
        <v>73</v>
      </c>
      <c r="C381" s="7" t="s">
        <v>74</v>
      </c>
      <c r="D381" s="8" t="s">
        <v>410</v>
      </c>
      <c r="E381" s="42" t="s">
        <v>125</v>
      </c>
      <c r="F381" s="39" t="s">
        <v>53</v>
      </c>
      <c r="G381" s="24" t="s">
        <v>62</v>
      </c>
      <c r="H381" s="136">
        <v>0.9814896</v>
      </c>
      <c r="I381" s="149">
        <v>3</v>
      </c>
      <c r="J381" s="136">
        <f>I381*$J$1</f>
        <v>0.30000000000000004</v>
      </c>
      <c r="K381" s="136">
        <v>0</v>
      </c>
      <c r="L381" s="139"/>
      <c r="M381" s="139"/>
      <c r="N381" s="136"/>
      <c r="O381" s="11"/>
      <c r="P381" s="136"/>
      <c r="Q381" s="140"/>
      <c r="R381" s="136"/>
      <c r="S381" s="136"/>
      <c r="T381" s="136"/>
      <c r="U381" s="136">
        <f aca="true" t="shared" si="95" ref="U381:U386">H381+J381+K381+N381+P381+R381+S381+T381</f>
        <v>1.2814896</v>
      </c>
    </row>
    <row r="382" spans="1:21" ht="15" outlineLevel="2">
      <c r="A382" s="6" t="s">
        <v>409</v>
      </c>
      <c r="B382" s="7" t="s">
        <v>73</v>
      </c>
      <c r="C382" s="7" t="s">
        <v>74</v>
      </c>
      <c r="D382" s="8" t="s">
        <v>410</v>
      </c>
      <c r="E382" s="42" t="s">
        <v>125</v>
      </c>
      <c r="F382" s="39" t="s">
        <v>53</v>
      </c>
      <c r="G382" s="24" t="s">
        <v>63</v>
      </c>
      <c r="H382" s="136">
        <v>141.18350399999997</v>
      </c>
      <c r="I382" s="149">
        <v>33</v>
      </c>
      <c r="J382" s="136">
        <f>I382*$J$2</f>
        <v>1.98</v>
      </c>
      <c r="K382" s="136">
        <v>30</v>
      </c>
      <c r="L382" s="139"/>
      <c r="M382" s="139"/>
      <c r="N382" s="136"/>
      <c r="O382" s="11"/>
      <c r="P382" s="136"/>
      <c r="Q382" s="140"/>
      <c r="R382" s="136"/>
      <c r="S382" s="136"/>
      <c r="T382" s="136"/>
      <c r="U382" s="136">
        <f t="shared" si="95"/>
        <v>173.16350399999996</v>
      </c>
    </row>
    <row r="383" spans="1:21" ht="15" outlineLevel="2">
      <c r="A383" s="6" t="s">
        <v>409</v>
      </c>
      <c r="B383" s="7" t="s">
        <v>73</v>
      </c>
      <c r="C383" s="7" t="s">
        <v>74</v>
      </c>
      <c r="D383" s="8" t="s">
        <v>410</v>
      </c>
      <c r="E383" s="42" t="s">
        <v>125</v>
      </c>
      <c r="F383" s="39" t="s">
        <v>53</v>
      </c>
      <c r="G383" s="24" t="s">
        <v>64</v>
      </c>
      <c r="H383" s="136">
        <v>63.8796634</v>
      </c>
      <c r="I383" s="149">
        <v>32</v>
      </c>
      <c r="J383" s="136">
        <f>I383*$J$2</f>
        <v>1.92</v>
      </c>
      <c r="K383" s="136">
        <v>45</v>
      </c>
      <c r="L383" s="139"/>
      <c r="M383" s="139"/>
      <c r="N383" s="136"/>
      <c r="O383" s="11"/>
      <c r="P383" s="136"/>
      <c r="Q383" s="140"/>
      <c r="R383" s="136"/>
      <c r="S383" s="136"/>
      <c r="T383" s="136"/>
      <c r="U383" s="136">
        <f t="shared" si="95"/>
        <v>110.7996634</v>
      </c>
    </row>
    <row r="384" spans="1:21" ht="15" outlineLevel="2">
      <c r="A384" s="6" t="s">
        <v>409</v>
      </c>
      <c r="B384" s="7" t="s">
        <v>73</v>
      </c>
      <c r="C384" s="7" t="s">
        <v>74</v>
      </c>
      <c r="D384" s="8" t="s">
        <v>410</v>
      </c>
      <c r="E384" s="42" t="s">
        <v>125</v>
      </c>
      <c r="F384" s="39" t="s">
        <v>53</v>
      </c>
      <c r="G384" s="24" t="s">
        <v>65</v>
      </c>
      <c r="H384" s="136">
        <v>18.790912000000002</v>
      </c>
      <c r="I384" s="149">
        <v>35</v>
      </c>
      <c r="J384" s="136">
        <f>I384*$J$2</f>
        <v>2.1</v>
      </c>
      <c r="K384" s="136">
        <v>45</v>
      </c>
      <c r="L384" s="139"/>
      <c r="M384" s="139"/>
      <c r="N384" s="136"/>
      <c r="O384" s="11"/>
      <c r="P384" s="136"/>
      <c r="Q384" s="140"/>
      <c r="R384" s="136"/>
      <c r="S384" s="136"/>
      <c r="T384" s="136"/>
      <c r="U384" s="136">
        <f t="shared" si="95"/>
        <v>65.890912</v>
      </c>
    </row>
    <row r="385" spans="1:21" ht="15" outlineLevel="2">
      <c r="A385" s="6" t="s">
        <v>409</v>
      </c>
      <c r="B385" s="7" t="s">
        <v>73</v>
      </c>
      <c r="C385" s="7" t="s">
        <v>74</v>
      </c>
      <c r="D385" s="8" t="s">
        <v>410</v>
      </c>
      <c r="E385" s="42" t="s">
        <v>125</v>
      </c>
      <c r="F385" s="39" t="s">
        <v>53</v>
      </c>
      <c r="G385" s="24" t="s">
        <v>66</v>
      </c>
      <c r="H385" s="136">
        <v>34.345844400000004</v>
      </c>
      <c r="I385" s="149">
        <v>26</v>
      </c>
      <c r="J385" s="136">
        <f>I385*$J$2</f>
        <v>1.56</v>
      </c>
      <c r="K385" s="136">
        <v>60</v>
      </c>
      <c r="L385" s="139"/>
      <c r="M385" s="139"/>
      <c r="N385" s="136"/>
      <c r="O385" s="11"/>
      <c r="P385" s="136"/>
      <c r="Q385" s="140"/>
      <c r="R385" s="136"/>
      <c r="S385" s="136"/>
      <c r="T385" s="136"/>
      <c r="U385" s="136">
        <f t="shared" si="95"/>
        <v>95.9058444</v>
      </c>
    </row>
    <row r="386" spans="1:21" ht="15" outlineLevel="2">
      <c r="A386" s="6" t="s">
        <v>409</v>
      </c>
      <c r="B386" s="7" t="s">
        <v>73</v>
      </c>
      <c r="C386" s="7" t="s">
        <v>74</v>
      </c>
      <c r="D386" s="8" t="s">
        <v>410</v>
      </c>
      <c r="E386" s="42" t="s">
        <v>125</v>
      </c>
      <c r="F386" s="39" t="s">
        <v>53</v>
      </c>
      <c r="G386" s="24" t="s">
        <v>90</v>
      </c>
      <c r="H386" s="136">
        <v>1.111516</v>
      </c>
      <c r="I386" s="149">
        <v>4</v>
      </c>
      <c r="J386" s="136">
        <f>I386*$J$2</f>
        <v>0.24</v>
      </c>
      <c r="K386" s="136">
        <v>0</v>
      </c>
      <c r="L386" s="139"/>
      <c r="M386" s="139"/>
      <c r="N386" s="136"/>
      <c r="O386" s="11"/>
      <c r="P386" s="136"/>
      <c r="Q386" s="140"/>
      <c r="R386" s="136"/>
      <c r="S386" s="136"/>
      <c r="T386" s="136"/>
      <c r="U386" s="136">
        <f t="shared" si="95"/>
        <v>1.351516</v>
      </c>
    </row>
    <row r="387" spans="1:21" s="5" customFormat="1" ht="15.75" outlineLevel="1">
      <c r="A387" s="1" t="s">
        <v>938</v>
      </c>
      <c r="B387" s="172"/>
      <c r="C387" s="2"/>
      <c r="D387" s="19"/>
      <c r="E387" s="44"/>
      <c r="F387" s="51"/>
      <c r="G387" s="2"/>
      <c r="H387" s="137">
        <f aca="true" t="shared" si="96" ref="H387:U387">SUBTOTAL(9,H381:H386)</f>
        <v>260.2929294</v>
      </c>
      <c r="I387" s="144">
        <f t="shared" si="96"/>
        <v>133</v>
      </c>
      <c r="J387" s="137">
        <f t="shared" si="96"/>
        <v>8.100000000000001</v>
      </c>
      <c r="K387" s="137">
        <f t="shared" si="96"/>
        <v>180</v>
      </c>
      <c r="L387" s="141">
        <f t="shared" si="96"/>
        <v>0</v>
      </c>
      <c r="M387" s="141">
        <f t="shared" si="96"/>
        <v>0</v>
      </c>
      <c r="N387" s="137">
        <f t="shared" si="96"/>
        <v>0</v>
      </c>
      <c r="O387" s="45">
        <f t="shared" si="96"/>
        <v>0</v>
      </c>
      <c r="P387" s="137">
        <f t="shared" si="96"/>
        <v>0</v>
      </c>
      <c r="Q387" s="167">
        <f t="shared" si="96"/>
        <v>0</v>
      </c>
      <c r="R387" s="137">
        <f t="shared" si="96"/>
        <v>0</v>
      </c>
      <c r="S387" s="137">
        <f t="shared" si="96"/>
        <v>0</v>
      </c>
      <c r="T387" s="137">
        <f t="shared" si="96"/>
        <v>0</v>
      </c>
      <c r="U387" s="137">
        <f t="shared" si="96"/>
        <v>448.3929294</v>
      </c>
    </row>
    <row r="388" spans="1:21" ht="15" outlineLevel="2">
      <c r="A388" s="6" t="s">
        <v>411</v>
      </c>
      <c r="B388" s="7" t="s">
        <v>73</v>
      </c>
      <c r="C388" s="7" t="s">
        <v>74</v>
      </c>
      <c r="D388" s="8" t="s">
        <v>412</v>
      </c>
      <c r="E388" s="42" t="s">
        <v>76</v>
      </c>
      <c r="F388" s="39" t="s">
        <v>53</v>
      </c>
      <c r="G388" s="24" t="s">
        <v>62</v>
      </c>
      <c r="H388" s="136">
        <v>12.105038399999998</v>
      </c>
      <c r="I388" s="149">
        <v>37</v>
      </c>
      <c r="J388" s="136">
        <f>I388*$J$1</f>
        <v>3.7</v>
      </c>
      <c r="K388" s="136">
        <v>30</v>
      </c>
      <c r="L388" s="139"/>
      <c r="M388" s="139"/>
      <c r="N388" s="136"/>
      <c r="O388" s="11"/>
      <c r="P388" s="136"/>
      <c r="Q388" s="140"/>
      <c r="R388" s="136"/>
      <c r="S388" s="136"/>
      <c r="T388" s="136"/>
      <c r="U388" s="136">
        <f>H388+J388+K388+N388+P388+R388+S388+T388</f>
        <v>45.8050384</v>
      </c>
    </row>
    <row r="389" spans="1:21" ht="15" outlineLevel="2">
      <c r="A389" s="6" t="s">
        <v>411</v>
      </c>
      <c r="B389" s="7" t="s">
        <v>73</v>
      </c>
      <c r="C389" s="7" t="s">
        <v>74</v>
      </c>
      <c r="D389" s="8" t="s">
        <v>412</v>
      </c>
      <c r="E389" s="42" t="s">
        <v>76</v>
      </c>
      <c r="F389" s="39" t="s">
        <v>53</v>
      </c>
      <c r="G389" s="11" t="s">
        <v>64</v>
      </c>
      <c r="H389" s="136">
        <v>2.9119622</v>
      </c>
      <c r="I389" s="140">
        <v>3</v>
      </c>
      <c r="J389" s="136">
        <f>I389*$J$2</f>
        <v>0.18</v>
      </c>
      <c r="K389" s="136">
        <v>15</v>
      </c>
      <c r="L389" s="139"/>
      <c r="M389" s="139"/>
      <c r="N389" s="136"/>
      <c r="O389" s="11"/>
      <c r="P389" s="136"/>
      <c r="Q389" s="140"/>
      <c r="R389" s="136"/>
      <c r="S389" s="136"/>
      <c r="T389" s="136"/>
      <c r="U389" s="136">
        <f>H389+J389+K389+N389+P389+R389+S389+T389</f>
        <v>18.0919622</v>
      </c>
    </row>
    <row r="390" spans="1:21" ht="15" outlineLevel="2">
      <c r="A390" s="6" t="s">
        <v>411</v>
      </c>
      <c r="B390" s="7" t="s">
        <v>73</v>
      </c>
      <c r="C390" s="7" t="s">
        <v>74</v>
      </c>
      <c r="D390" s="8" t="s">
        <v>412</v>
      </c>
      <c r="E390" s="42" t="s">
        <v>76</v>
      </c>
      <c r="F390" s="39" t="s">
        <v>53</v>
      </c>
      <c r="G390" s="24" t="s">
        <v>65</v>
      </c>
      <c r="H390" s="136">
        <v>0.44041199999999997</v>
      </c>
      <c r="I390" s="149">
        <v>1</v>
      </c>
      <c r="J390" s="136">
        <f>I390*$J$2</f>
        <v>0.06</v>
      </c>
      <c r="K390" s="136">
        <v>15</v>
      </c>
      <c r="L390" s="139"/>
      <c r="M390" s="139"/>
      <c r="N390" s="136"/>
      <c r="O390" s="11"/>
      <c r="P390" s="136"/>
      <c r="Q390" s="140"/>
      <c r="R390" s="136"/>
      <c r="S390" s="136"/>
      <c r="T390" s="136"/>
      <c r="U390" s="136">
        <f>H390+J390+K390+N390+P390+R390+S390+T390</f>
        <v>15.500412</v>
      </c>
    </row>
    <row r="391" spans="1:21" ht="15" outlineLevel="2">
      <c r="A391" s="6" t="s">
        <v>411</v>
      </c>
      <c r="B391" s="7" t="s">
        <v>73</v>
      </c>
      <c r="C391" s="7" t="s">
        <v>74</v>
      </c>
      <c r="D391" s="8" t="s">
        <v>412</v>
      </c>
      <c r="E391" s="42" t="s">
        <v>76</v>
      </c>
      <c r="F391" s="39" t="s">
        <v>53</v>
      </c>
      <c r="G391" s="24" t="s">
        <v>66</v>
      </c>
      <c r="H391" s="136">
        <v>4.556166999999999</v>
      </c>
      <c r="I391" s="149">
        <v>5</v>
      </c>
      <c r="J391" s="136">
        <f>I391*$J$2</f>
        <v>0.3</v>
      </c>
      <c r="K391" s="136">
        <v>30</v>
      </c>
      <c r="L391" s="139"/>
      <c r="M391" s="139"/>
      <c r="N391" s="136"/>
      <c r="O391" s="11"/>
      <c r="P391" s="136"/>
      <c r="Q391" s="140"/>
      <c r="R391" s="136"/>
      <c r="S391" s="136"/>
      <c r="T391" s="136"/>
      <c r="U391" s="136">
        <f>H391+J391+K391+N391+P391+R391+S391+T391</f>
        <v>34.856167</v>
      </c>
    </row>
    <row r="392" spans="1:21" ht="15" outlineLevel="2">
      <c r="A392" s="6" t="str">
        <f>A391</f>
        <v>M612</v>
      </c>
      <c r="B392" s="11" t="str">
        <f>B391</f>
        <v>DOH-ICS</v>
      </c>
      <c r="C392" s="11" t="str">
        <f>C391</f>
        <v>INTEGRATED CLINICAL SERVICES</v>
      </c>
      <c r="D392" s="13" t="str">
        <f>D391</f>
        <v>406200</v>
      </c>
      <c r="E392" s="24" t="str">
        <f>E391</f>
        <v>40-60</v>
      </c>
      <c r="F392" s="39" t="s">
        <v>585</v>
      </c>
      <c r="G392" s="24" t="s">
        <v>585</v>
      </c>
      <c r="H392" s="136"/>
      <c r="I392" s="149"/>
      <c r="J392" s="136"/>
      <c r="K392" s="136"/>
      <c r="L392" s="139">
        <v>1</v>
      </c>
      <c r="M392" s="139">
        <v>0.18</v>
      </c>
      <c r="N392" s="136">
        <f>L392*M392*$N$2</f>
        <v>564.3</v>
      </c>
      <c r="O392" s="11"/>
      <c r="P392" s="136"/>
      <c r="Q392" s="140"/>
      <c r="R392" s="136"/>
      <c r="S392" s="136"/>
      <c r="T392" s="136"/>
      <c r="U392" s="136">
        <f>H392+J392+K392+N392+P392+R392+S392+T392</f>
        <v>564.3</v>
      </c>
    </row>
    <row r="393" spans="1:21" s="5" customFormat="1" ht="15.75" outlineLevel="1">
      <c r="A393" s="1" t="s">
        <v>939</v>
      </c>
      <c r="B393" s="172"/>
      <c r="C393" s="2"/>
      <c r="D393" s="19"/>
      <c r="E393" s="44"/>
      <c r="F393" s="51"/>
      <c r="G393" s="2"/>
      <c r="H393" s="137">
        <f aca="true" t="shared" si="97" ref="H393:U393">SUBTOTAL(9,H388:H392)</f>
        <v>20.013579599999996</v>
      </c>
      <c r="I393" s="144">
        <f t="shared" si="97"/>
        <v>46</v>
      </c>
      <c r="J393" s="137">
        <f t="shared" si="97"/>
        <v>4.24</v>
      </c>
      <c r="K393" s="137">
        <f t="shared" si="97"/>
        <v>90</v>
      </c>
      <c r="L393" s="141">
        <f t="shared" si="97"/>
        <v>1</v>
      </c>
      <c r="M393" s="141">
        <f t="shared" si="97"/>
        <v>0.18</v>
      </c>
      <c r="N393" s="137">
        <f t="shared" si="97"/>
        <v>564.3</v>
      </c>
      <c r="O393" s="45">
        <f t="shared" si="97"/>
        <v>0</v>
      </c>
      <c r="P393" s="137">
        <f t="shared" si="97"/>
        <v>0</v>
      </c>
      <c r="Q393" s="167">
        <f t="shared" si="97"/>
        <v>0</v>
      </c>
      <c r="R393" s="137">
        <f t="shared" si="97"/>
        <v>0</v>
      </c>
      <c r="S393" s="137">
        <f t="shared" si="97"/>
        <v>0</v>
      </c>
      <c r="T393" s="137">
        <f t="shared" si="97"/>
        <v>0</v>
      </c>
      <c r="U393" s="137">
        <f t="shared" si="97"/>
        <v>678.5535795999999</v>
      </c>
    </row>
    <row r="394" spans="1:21" ht="15" outlineLevel="2">
      <c r="A394" s="6" t="s">
        <v>413</v>
      </c>
      <c r="B394" s="7" t="s">
        <v>73</v>
      </c>
      <c r="C394" s="7" t="s">
        <v>74</v>
      </c>
      <c r="D394" s="8" t="s">
        <v>361</v>
      </c>
      <c r="E394" s="42" t="s">
        <v>125</v>
      </c>
      <c r="F394" s="39" t="s">
        <v>53</v>
      </c>
      <c r="G394" s="24" t="s">
        <v>62</v>
      </c>
      <c r="H394" s="136">
        <v>929.2923892000007</v>
      </c>
      <c r="I394" s="149">
        <v>2784</v>
      </c>
      <c r="J394" s="136">
        <f>I394*$J$1</f>
        <v>278.40000000000003</v>
      </c>
      <c r="K394" s="136">
        <v>0</v>
      </c>
      <c r="L394" s="139"/>
      <c r="M394" s="139"/>
      <c r="N394" s="136"/>
      <c r="O394" s="11"/>
      <c r="P394" s="136"/>
      <c r="Q394" s="140"/>
      <c r="R394" s="136"/>
      <c r="S394" s="136"/>
      <c r="T394" s="136"/>
      <c r="U394" s="136">
        <f aca="true" t="shared" si="98" ref="U394:U401">H394+J394+K394+N394+P394+R394+S394+T394</f>
        <v>1207.6923892000007</v>
      </c>
    </row>
    <row r="395" spans="1:21" ht="15" outlineLevel="2">
      <c r="A395" s="6" t="s">
        <v>413</v>
      </c>
      <c r="B395" s="7" t="s">
        <v>73</v>
      </c>
      <c r="C395" s="7" t="s">
        <v>74</v>
      </c>
      <c r="D395" s="8" t="s">
        <v>361</v>
      </c>
      <c r="E395" s="42" t="s">
        <v>125</v>
      </c>
      <c r="F395" s="39" t="s">
        <v>53</v>
      </c>
      <c r="G395" s="24" t="s">
        <v>63</v>
      </c>
      <c r="H395" s="136">
        <v>575.199044</v>
      </c>
      <c r="I395" s="149">
        <v>212</v>
      </c>
      <c r="J395" s="136">
        <f>I395*$J$2</f>
        <v>12.719999999999999</v>
      </c>
      <c r="K395" s="136">
        <v>0</v>
      </c>
      <c r="L395" s="139"/>
      <c r="M395" s="139"/>
      <c r="N395" s="136"/>
      <c r="O395" s="11"/>
      <c r="P395" s="136"/>
      <c r="Q395" s="140"/>
      <c r="R395" s="136"/>
      <c r="S395" s="136"/>
      <c r="T395" s="136"/>
      <c r="U395" s="136">
        <f t="shared" si="98"/>
        <v>587.919044</v>
      </c>
    </row>
    <row r="396" spans="1:21" ht="15" outlineLevel="2">
      <c r="A396" s="6" t="s">
        <v>413</v>
      </c>
      <c r="B396" s="7" t="s">
        <v>73</v>
      </c>
      <c r="C396" s="7" t="s">
        <v>74</v>
      </c>
      <c r="D396" s="8" t="s">
        <v>361</v>
      </c>
      <c r="E396" s="42" t="s">
        <v>125</v>
      </c>
      <c r="F396" s="39" t="s">
        <v>53</v>
      </c>
      <c r="G396" s="24" t="s">
        <v>64</v>
      </c>
      <c r="H396" s="136">
        <v>657.9818196000001</v>
      </c>
      <c r="I396" s="149">
        <v>409</v>
      </c>
      <c r="J396" s="136">
        <f>I396*$J$2</f>
        <v>24.54</v>
      </c>
      <c r="K396" s="136">
        <v>0</v>
      </c>
      <c r="L396" s="139"/>
      <c r="M396" s="139"/>
      <c r="N396" s="136"/>
      <c r="O396" s="11"/>
      <c r="P396" s="136"/>
      <c r="Q396" s="140"/>
      <c r="R396" s="136"/>
      <c r="S396" s="136"/>
      <c r="T396" s="136"/>
      <c r="U396" s="136">
        <f t="shared" si="98"/>
        <v>682.5218196000001</v>
      </c>
    </row>
    <row r="397" spans="1:21" ht="15" outlineLevel="2">
      <c r="A397" s="6" t="s">
        <v>413</v>
      </c>
      <c r="B397" s="7" t="s">
        <v>73</v>
      </c>
      <c r="C397" s="7" t="s">
        <v>74</v>
      </c>
      <c r="D397" s="8" t="s">
        <v>361</v>
      </c>
      <c r="E397" s="42" t="s">
        <v>125</v>
      </c>
      <c r="F397" s="39" t="s">
        <v>53</v>
      </c>
      <c r="G397" s="24" t="s">
        <v>65</v>
      </c>
      <c r="H397" s="136">
        <v>1228.1245144000002</v>
      </c>
      <c r="I397" s="149">
        <v>1994</v>
      </c>
      <c r="J397" s="136">
        <f>I397*$J$2</f>
        <v>119.64</v>
      </c>
      <c r="K397" s="136">
        <v>120</v>
      </c>
      <c r="L397" s="139"/>
      <c r="M397" s="139"/>
      <c r="N397" s="136"/>
      <c r="O397" s="11"/>
      <c r="P397" s="136"/>
      <c r="Q397" s="140"/>
      <c r="R397" s="136"/>
      <c r="S397" s="136"/>
      <c r="T397" s="136"/>
      <c r="U397" s="136">
        <f t="shared" si="98"/>
        <v>1467.7645144000003</v>
      </c>
    </row>
    <row r="398" spans="1:21" ht="15" outlineLevel="2">
      <c r="A398" s="6" t="s">
        <v>413</v>
      </c>
      <c r="B398" s="7" t="s">
        <v>73</v>
      </c>
      <c r="C398" s="7" t="s">
        <v>74</v>
      </c>
      <c r="D398" s="8" t="s">
        <v>361</v>
      </c>
      <c r="E398" s="42" t="s">
        <v>125</v>
      </c>
      <c r="F398" s="39" t="s">
        <v>53</v>
      </c>
      <c r="G398" s="24" t="s">
        <v>66</v>
      </c>
      <c r="H398" s="136">
        <v>204.65631059999998</v>
      </c>
      <c r="I398" s="149">
        <v>166</v>
      </c>
      <c r="J398" s="136">
        <f>I398*$J$2</f>
        <v>9.959999999999999</v>
      </c>
      <c r="K398" s="136">
        <v>60</v>
      </c>
      <c r="L398" s="139"/>
      <c r="M398" s="139"/>
      <c r="N398" s="136"/>
      <c r="O398" s="11"/>
      <c r="P398" s="136"/>
      <c r="Q398" s="140"/>
      <c r="R398" s="136"/>
      <c r="S398" s="136"/>
      <c r="T398" s="136"/>
      <c r="U398" s="136">
        <f t="shared" si="98"/>
        <v>274.6163106</v>
      </c>
    </row>
    <row r="399" spans="1:21" ht="15" outlineLevel="2">
      <c r="A399" s="6" t="str">
        <f>A398</f>
        <v>M621</v>
      </c>
      <c r="B399" s="11" t="str">
        <f>B398</f>
        <v>DOH-ICS</v>
      </c>
      <c r="C399" s="11" t="str">
        <f>C398</f>
        <v>INTEGRATED CLINICAL SERVICES</v>
      </c>
      <c r="D399" s="13" t="str">
        <f>D398</f>
        <v>407500</v>
      </c>
      <c r="E399" s="24" t="str">
        <f>E398</f>
        <v>40-70</v>
      </c>
      <c r="F399" s="39" t="s">
        <v>585</v>
      </c>
      <c r="G399" s="24" t="s">
        <v>585</v>
      </c>
      <c r="H399" s="136"/>
      <c r="I399" s="149"/>
      <c r="J399" s="136"/>
      <c r="K399" s="136"/>
      <c r="L399" s="139">
        <v>4</v>
      </c>
      <c r="M399" s="139">
        <v>1</v>
      </c>
      <c r="N399" s="136">
        <f>L399*M399*$N$2</f>
        <v>12540</v>
      </c>
      <c r="O399" s="11"/>
      <c r="P399" s="136"/>
      <c r="Q399" s="140"/>
      <c r="R399" s="136"/>
      <c r="S399" s="136"/>
      <c r="T399" s="136"/>
      <c r="U399" s="136">
        <f t="shared" si="98"/>
        <v>12540</v>
      </c>
    </row>
    <row r="400" spans="1:21" ht="15" outlineLevel="2">
      <c r="A400" s="28" t="s">
        <v>413</v>
      </c>
      <c r="B400" s="11" t="str">
        <f aca="true" t="shared" si="99" ref="B400:E401">B399</f>
        <v>DOH-ICS</v>
      </c>
      <c r="C400" s="11" t="str">
        <f t="shared" si="99"/>
        <v>INTEGRATED CLINICAL SERVICES</v>
      </c>
      <c r="D400" s="13" t="str">
        <f t="shared" si="99"/>
        <v>407500</v>
      </c>
      <c r="E400" s="38" t="str">
        <f t="shared" si="99"/>
        <v>40-70</v>
      </c>
      <c r="F400" s="20" t="s">
        <v>615</v>
      </c>
      <c r="G400" s="11" t="s">
        <v>615</v>
      </c>
      <c r="H400" s="136"/>
      <c r="I400" s="140"/>
      <c r="J400" s="136"/>
      <c r="K400" s="136"/>
      <c r="L400" s="139"/>
      <c r="M400" s="139"/>
      <c r="N400" s="136"/>
      <c r="O400" s="29">
        <f>5.75+2.75</f>
        <v>8.5</v>
      </c>
      <c r="P400" s="136">
        <f>O400*$P$2</f>
        <v>612</v>
      </c>
      <c r="Q400" s="140"/>
      <c r="R400" s="136"/>
      <c r="S400" s="136"/>
      <c r="T400" s="136"/>
      <c r="U400" s="136">
        <f t="shared" si="98"/>
        <v>612</v>
      </c>
    </row>
    <row r="401" spans="1:21" ht="15" outlineLevel="2">
      <c r="A401" s="36" t="s">
        <v>666</v>
      </c>
      <c r="B401" s="11" t="str">
        <f t="shared" si="99"/>
        <v>DOH-ICS</v>
      </c>
      <c r="C401" s="11" t="str">
        <f t="shared" si="99"/>
        <v>INTEGRATED CLINICAL SERVICES</v>
      </c>
      <c r="D401" s="13" t="str">
        <f t="shared" si="99"/>
        <v>407500</v>
      </c>
      <c r="E401" s="27" t="str">
        <f t="shared" si="99"/>
        <v>40-70</v>
      </c>
      <c r="F401" s="20" t="s">
        <v>683</v>
      </c>
      <c r="G401" s="11" t="s">
        <v>683</v>
      </c>
      <c r="H401" s="136"/>
      <c r="I401" s="140"/>
      <c r="J401" s="136"/>
      <c r="K401" s="136"/>
      <c r="L401" s="139"/>
      <c r="M401" s="139"/>
      <c r="N401" s="136"/>
      <c r="O401" s="34"/>
      <c r="P401" s="136"/>
      <c r="Q401" s="140"/>
      <c r="R401" s="136"/>
      <c r="S401" s="136"/>
      <c r="T401" s="150">
        <v>23.45</v>
      </c>
      <c r="U401" s="136">
        <f t="shared" si="98"/>
        <v>23.45</v>
      </c>
    </row>
    <row r="402" spans="1:21" s="5" customFormat="1" ht="15.75" outlineLevel="1">
      <c r="A402" s="1" t="s">
        <v>940</v>
      </c>
      <c r="B402" s="172"/>
      <c r="C402" s="2"/>
      <c r="D402" s="19"/>
      <c r="E402" s="44"/>
      <c r="F402" s="51"/>
      <c r="G402" s="2"/>
      <c r="H402" s="137">
        <f aca="true" t="shared" si="100" ref="H402:U402">SUBTOTAL(9,H394:H401)</f>
        <v>3595.2540778000007</v>
      </c>
      <c r="I402" s="144">
        <f t="shared" si="100"/>
        <v>5565</v>
      </c>
      <c r="J402" s="137">
        <f t="shared" si="100"/>
        <v>445.26</v>
      </c>
      <c r="K402" s="137">
        <f t="shared" si="100"/>
        <v>180</v>
      </c>
      <c r="L402" s="141">
        <f t="shared" si="100"/>
        <v>4</v>
      </c>
      <c r="M402" s="141">
        <f t="shared" si="100"/>
        <v>1</v>
      </c>
      <c r="N402" s="137">
        <f t="shared" si="100"/>
        <v>12540</v>
      </c>
      <c r="O402" s="45">
        <f t="shared" si="100"/>
        <v>8.5</v>
      </c>
      <c r="P402" s="137">
        <f t="shared" si="100"/>
        <v>612</v>
      </c>
      <c r="Q402" s="167">
        <f t="shared" si="100"/>
        <v>0</v>
      </c>
      <c r="R402" s="137">
        <f t="shared" si="100"/>
        <v>0</v>
      </c>
      <c r="S402" s="137">
        <f t="shared" si="100"/>
        <v>0</v>
      </c>
      <c r="T402" s="137">
        <f t="shared" si="100"/>
        <v>23.45</v>
      </c>
      <c r="U402" s="137">
        <f t="shared" si="100"/>
        <v>17395.964077800003</v>
      </c>
    </row>
    <row r="403" spans="1:21" ht="15" outlineLevel="2">
      <c r="A403" s="6" t="s">
        <v>414</v>
      </c>
      <c r="B403" s="7" t="s">
        <v>73</v>
      </c>
      <c r="C403" s="7" t="s">
        <v>74</v>
      </c>
      <c r="D403" s="8" t="s">
        <v>415</v>
      </c>
      <c r="E403" s="42" t="s">
        <v>416</v>
      </c>
      <c r="F403" s="39" t="s">
        <v>53</v>
      </c>
      <c r="G403" s="24" t="s">
        <v>62</v>
      </c>
      <c r="H403" s="136">
        <v>2642.662845199999</v>
      </c>
      <c r="I403" s="149">
        <v>8115</v>
      </c>
      <c r="J403" s="136">
        <f>I403*$J$1</f>
        <v>811.5</v>
      </c>
      <c r="K403" s="136">
        <v>60</v>
      </c>
      <c r="L403" s="139"/>
      <c r="M403" s="139"/>
      <c r="N403" s="136"/>
      <c r="O403" s="11"/>
      <c r="P403" s="136"/>
      <c r="Q403" s="140"/>
      <c r="R403" s="136"/>
      <c r="S403" s="136"/>
      <c r="T403" s="136"/>
      <c r="U403" s="136">
        <f aca="true" t="shared" si="101" ref="U403:U409">H403+J403+K403+N403+P403+R403+S403+T403</f>
        <v>3514.162845199999</v>
      </c>
    </row>
    <row r="404" spans="1:21" ht="15" outlineLevel="2">
      <c r="A404" s="6" t="s">
        <v>414</v>
      </c>
      <c r="B404" s="7" t="s">
        <v>73</v>
      </c>
      <c r="C404" s="7" t="s">
        <v>74</v>
      </c>
      <c r="D404" s="8" t="s">
        <v>415</v>
      </c>
      <c r="E404" s="42" t="s">
        <v>416</v>
      </c>
      <c r="F404" s="39" t="s">
        <v>53</v>
      </c>
      <c r="G404" s="11" t="s">
        <v>63</v>
      </c>
      <c r="H404" s="136">
        <v>9.542259999999999</v>
      </c>
      <c r="I404" s="140">
        <v>26</v>
      </c>
      <c r="J404" s="136">
        <f>I404*$J$2</f>
        <v>1.56</v>
      </c>
      <c r="K404" s="136">
        <v>15</v>
      </c>
      <c r="L404" s="139"/>
      <c r="M404" s="139"/>
      <c r="N404" s="136"/>
      <c r="O404" s="11"/>
      <c r="P404" s="136"/>
      <c r="Q404" s="140"/>
      <c r="R404" s="136"/>
      <c r="S404" s="136"/>
      <c r="T404" s="136"/>
      <c r="U404" s="136">
        <f t="shared" si="101"/>
        <v>26.10226</v>
      </c>
    </row>
    <row r="405" spans="1:21" ht="15" outlineLevel="2">
      <c r="A405" s="6" t="s">
        <v>414</v>
      </c>
      <c r="B405" s="7" t="s">
        <v>73</v>
      </c>
      <c r="C405" s="7" t="s">
        <v>74</v>
      </c>
      <c r="D405" s="8" t="s">
        <v>415</v>
      </c>
      <c r="E405" s="42" t="s">
        <v>416</v>
      </c>
      <c r="F405" s="39" t="s">
        <v>53</v>
      </c>
      <c r="G405" s="24" t="s">
        <v>64</v>
      </c>
      <c r="H405" s="136">
        <v>36.056110999999994</v>
      </c>
      <c r="I405" s="149">
        <v>102</v>
      </c>
      <c r="J405" s="136">
        <f>I405*$J$2</f>
        <v>6.12</v>
      </c>
      <c r="K405" s="136">
        <v>0</v>
      </c>
      <c r="L405" s="139"/>
      <c r="M405" s="139"/>
      <c r="N405" s="136"/>
      <c r="O405" s="11"/>
      <c r="P405" s="136"/>
      <c r="Q405" s="140"/>
      <c r="R405" s="136"/>
      <c r="S405" s="136"/>
      <c r="T405" s="136"/>
      <c r="U405" s="136">
        <f t="shared" si="101"/>
        <v>42.17611099999999</v>
      </c>
    </row>
    <row r="406" spans="1:21" ht="15" outlineLevel="2">
      <c r="A406" s="6" t="s">
        <v>414</v>
      </c>
      <c r="B406" s="7" t="s">
        <v>73</v>
      </c>
      <c r="C406" s="7" t="s">
        <v>74</v>
      </c>
      <c r="D406" s="8" t="s">
        <v>415</v>
      </c>
      <c r="E406" s="42" t="s">
        <v>416</v>
      </c>
      <c r="F406" s="39" t="s">
        <v>53</v>
      </c>
      <c r="G406" s="24" t="s">
        <v>65</v>
      </c>
      <c r="H406" s="136">
        <v>1957.8683236000002</v>
      </c>
      <c r="I406" s="149">
        <v>7122</v>
      </c>
      <c r="J406" s="136">
        <f>I406*$J$2</f>
        <v>427.32</v>
      </c>
      <c r="K406" s="136">
        <v>75</v>
      </c>
      <c r="L406" s="139"/>
      <c r="M406" s="139"/>
      <c r="N406" s="136"/>
      <c r="O406" s="11"/>
      <c r="P406" s="136"/>
      <c r="Q406" s="140"/>
      <c r="R406" s="136"/>
      <c r="S406" s="136"/>
      <c r="T406" s="136"/>
      <c r="U406" s="136">
        <f t="shared" si="101"/>
        <v>2460.1883236000003</v>
      </c>
    </row>
    <row r="407" spans="1:21" ht="15" outlineLevel="2">
      <c r="A407" s="6" t="s">
        <v>414</v>
      </c>
      <c r="B407" s="7" t="s">
        <v>73</v>
      </c>
      <c r="C407" s="7" t="s">
        <v>74</v>
      </c>
      <c r="D407" s="8" t="s">
        <v>415</v>
      </c>
      <c r="E407" s="42" t="s">
        <v>416</v>
      </c>
      <c r="F407" s="39" t="s">
        <v>53</v>
      </c>
      <c r="G407" s="24" t="s">
        <v>66</v>
      </c>
      <c r="H407" s="136">
        <v>0.9112334</v>
      </c>
      <c r="I407" s="149">
        <v>1</v>
      </c>
      <c r="J407" s="136">
        <f>I407*$J$2</f>
        <v>0.06</v>
      </c>
      <c r="K407" s="136">
        <v>0</v>
      </c>
      <c r="L407" s="139"/>
      <c r="M407" s="139"/>
      <c r="N407" s="136"/>
      <c r="O407" s="11"/>
      <c r="P407" s="136"/>
      <c r="Q407" s="140"/>
      <c r="R407" s="136"/>
      <c r="S407" s="136"/>
      <c r="T407" s="136"/>
      <c r="U407" s="136">
        <f t="shared" si="101"/>
        <v>0.9712334</v>
      </c>
    </row>
    <row r="408" spans="1:21" ht="15" outlineLevel="2">
      <c r="A408" s="6" t="s">
        <v>414</v>
      </c>
      <c r="B408" s="7" t="s">
        <v>73</v>
      </c>
      <c r="C408" s="7" t="s">
        <v>74</v>
      </c>
      <c r="D408" s="8" t="s">
        <v>415</v>
      </c>
      <c r="E408" s="42" t="s">
        <v>416</v>
      </c>
      <c r="F408" s="39" t="s">
        <v>53</v>
      </c>
      <c r="G408" s="24" t="s">
        <v>90</v>
      </c>
      <c r="H408" s="136">
        <v>1956.404478</v>
      </c>
      <c r="I408" s="149">
        <v>7125</v>
      </c>
      <c r="J408" s="136">
        <f>I408*$J$2</f>
        <v>427.5</v>
      </c>
      <c r="K408" s="136">
        <v>30</v>
      </c>
      <c r="L408" s="139"/>
      <c r="M408" s="139"/>
      <c r="N408" s="136"/>
      <c r="O408" s="11"/>
      <c r="P408" s="136"/>
      <c r="Q408" s="140"/>
      <c r="R408" s="136"/>
      <c r="S408" s="136"/>
      <c r="T408" s="136"/>
      <c r="U408" s="136">
        <f t="shared" si="101"/>
        <v>2413.904478</v>
      </c>
    </row>
    <row r="409" spans="1:21" ht="15" outlineLevel="2">
      <c r="A409" s="6" t="str">
        <f>A408</f>
        <v>M624</v>
      </c>
      <c r="B409" s="11" t="str">
        <f>B408</f>
        <v>DOH-ICS</v>
      </c>
      <c r="C409" s="11" t="str">
        <f>C408</f>
        <v>INTEGRATED CLINICAL SERVICES</v>
      </c>
      <c r="D409" s="13" t="str">
        <f>D408</f>
        <v>404435</v>
      </c>
      <c r="E409" s="24" t="str">
        <f>E408</f>
        <v>40-44</v>
      </c>
      <c r="F409" s="39" t="s">
        <v>585</v>
      </c>
      <c r="G409" s="24" t="s">
        <v>585</v>
      </c>
      <c r="H409" s="136"/>
      <c r="I409" s="149"/>
      <c r="J409" s="136"/>
      <c r="K409" s="136"/>
      <c r="L409" s="139">
        <v>1</v>
      </c>
      <c r="M409" s="139">
        <v>0.3</v>
      </c>
      <c r="N409" s="136">
        <f>L409*M409*$N$2</f>
        <v>940.5</v>
      </c>
      <c r="O409" s="11"/>
      <c r="P409" s="136"/>
      <c r="Q409" s="140"/>
      <c r="R409" s="136"/>
      <c r="S409" s="136"/>
      <c r="T409" s="136"/>
      <c r="U409" s="136">
        <f t="shared" si="101"/>
        <v>940.5</v>
      </c>
    </row>
    <row r="410" spans="1:21" s="5" customFormat="1" ht="15.75" outlineLevel="1">
      <c r="A410" s="1" t="s">
        <v>941</v>
      </c>
      <c r="B410" s="172"/>
      <c r="C410" s="2"/>
      <c r="D410" s="19"/>
      <c r="E410" s="44"/>
      <c r="F410" s="51"/>
      <c r="G410" s="2"/>
      <c r="H410" s="137">
        <f aca="true" t="shared" si="102" ref="H410:U410">SUBTOTAL(9,H403:H409)</f>
        <v>6603.445251199999</v>
      </c>
      <c r="I410" s="144">
        <f t="shared" si="102"/>
        <v>22491</v>
      </c>
      <c r="J410" s="137">
        <f t="shared" si="102"/>
        <v>1674.06</v>
      </c>
      <c r="K410" s="137">
        <f t="shared" si="102"/>
        <v>180</v>
      </c>
      <c r="L410" s="141">
        <f t="shared" si="102"/>
        <v>1</v>
      </c>
      <c r="M410" s="141">
        <f t="shared" si="102"/>
        <v>0.3</v>
      </c>
      <c r="N410" s="137">
        <f t="shared" si="102"/>
        <v>940.5</v>
      </c>
      <c r="O410" s="45">
        <f t="shared" si="102"/>
        <v>0</v>
      </c>
      <c r="P410" s="137">
        <f t="shared" si="102"/>
        <v>0</v>
      </c>
      <c r="Q410" s="167">
        <f t="shared" si="102"/>
        <v>0</v>
      </c>
      <c r="R410" s="137">
        <f t="shared" si="102"/>
        <v>0</v>
      </c>
      <c r="S410" s="137">
        <f t="shared" si="102"/>
        <v>0</v>
      </c>
      <c r="T410" s="137">
        <f t="shared" si="102"/>
        <v>0</v>
      </c>
      <c r="U410" s="137">
        <f t="shared" si="102"/>
        <v>9398.005251199998</v>
      </c>
    </row>
    <row r="411" spans="1:21" ht="15" outlineLevel="2">
      <c r="A411" s="6" t="s">
        <v>417</v>
      </c>
      <c r="B411" s="7" t="s">
        <v>73</v>
      </c>
      <c r="C411" s="7" t="s">
        <v>74</v>
      </c>
      <c r="D411" s="8" t="s">
        <v>418</v>
      </c>
      <c r="E411" s="42" t="s">
        <v>76</v>
      </c>
      <c r="F411" s="39" t="s">
        <v>53</v>
      </c>
      <c r="G411" s="24" t="s">
        <v>62</v>
      </c>
      <c r="H411" s="136">
        <v>7.7690774</v>
      </c>
      <c r="I411" s="149">
        <v>23</v>
      </c>
      <c r="J411" s="136">
        <f>I411*$J$1</f>
        <v>2.3000000000000003</v>
      </c>
      <c r="K411" s="136">
        <v>45</v>
      </c>
      <c r="L411" s="139"/>
      <c r="M411" s="139"/>
      <c r="N411" s="136"/>
      <c r="O411" s="11"/>
      <c r="P411" s="136"/>
      <c r="Q411" s="140"/>
      <c r="R411" s="136"/>
      <c r="S411" s="136"/>
      <c r="T411" s="136"/>
      <c r="U411" s="136">
        <f aca="true" t="shared" si="103" ref="U411:U417">H411+J411+K411+N411+P411+R411+S411+T411</f>
        <v>55.0690774</v>
      </c>
    </row>
    <row r="412" spans="1:21" ht="15" outlineLevel="2">
      <c r="A412" s="6" t="s">
        <v>417</v>
      </c>
      <c r="B412" s="7" t="s">
        <v>73</v>
      </c>
      <c r="C412" s="7" t="s">
        <v>74</v>
      </c>
      <c r="D412" s="8" t="s">
        <v>418</v>
      </c>
      <c r="E412" s="42" t="s">
        <v>76</v>
      </c>
      <c r="F412" s="39" t="s">
        <v>53</v>
      </c>
      <c r="G412" s="11" t="s">
        <v>63</v>
      </c>
      <c r="H412" s="136">
        <v>6.941732</v>
      </c>
      <c r="I412" s="140">
        <v>3</v>
      </c>
      <c r="J412" s="136">
        <f>I412*$J$2</f>
        <v>0.18</v>
      </c>
      <c r="K412" s="136">
        <v>0</v>
      </c>
      <c r="L412" s="139"/>
      <c r="M412" s="139"/>
      <c r="N412" s="136"/>
      <c r="O412" s="11"/>
      <c r="P412" s="136"/>
      <c r="Q412" s="140"/>
      <c r="R412" s="136"/>
      <c r="S412" s="136"/>
      <c r="T412" s="136"/>
      <c r="U412" s="136">
        <f t="shared" si="103"/>
        <v>7.121732</v>
      </c>
    </row>
    <row r="413" spans="1:21" ht="15" outlineLevel="2">
      <c r="A413" s="6" t="s">
        <v>417</v>
      </c>
      <c r="B413" s="7" t="s">
        <v>73</v>
      </c>
      <c r="C413" s="7" t="s">
        <v>74</v>
      </c>
      <c r="D413" s="8" t="s">
        <v>418</v>
      </c>
      <c r="E413" s="42" t="s">
        <v>76</v>
      </c>
      <c r="F413" s="39" t="s">
        <v>53</v>
      </c>
      <c r="G413" s="24" t="s">
        <v>64</v>
      </c>
      <c r="H413" s="136">
        <v>13.956866</v>
      </c>
      <c r="I413" s="149">
        <v>9</v>
      </c>
      <c r="J413" s="136">
        <f>I413*$J$2</f>
        <v>0.54</v>
      </c>
      <c r="K413" s="136">
        <v>0</v>
      </c>
      <c r="L413" s="139"/>
      <c r="M413" s="139"/>
      <c r="N413" s="136"/>
      <c r="O413" s="11"/>
      <c r="P413" s="136"/>
      <c r="Q413" s="140"/>
      <c r="R413" s="136"/>
      <c r="S413" s="136"/>
      <c r="T413" s="136"/>
      <c r="U413" s="136">
        <f t="shared" si="103"/>
        <v>14.496866</v>
      </c>
    </row>
    <row r="414" spans="1:21" ht="15" outlineLevel="2">
      <c r="A414" s="6" t="s">
        <v>417</v>
      </c>
      <c r="B414" s="7" t="s">
        <v>73</v>
      </c>
      <c r="C414" s="7" t="s">
        <v>74</v>
      </c>
      <c r="D414" s="8" t="s">
        <v>418</v>
      </c>
      <c r="E414" s="42" t="s">
        <v>76</v>
      </c>
      <c r="F414" s="39" t="s">
        <v>53</v>
      </c>
      <c r="G414" s="24" t="s">
        <v>65</v>
      </c>
      <c r="H414" s="136">
        <v>52.870412</v>
      </c>
      <c r="I414" s="149">
        <v>153</v>
      </c>
      <c r="J414" s="136">
        <f>I414*$J$2</f>
        <v>9.18</v>
      </c>
      <c r="K414" s="136">
        <v>90</v>
      </c>
      <c r="L414" s="139"/>
      <c r="M414" s="139"/>
      <c r="N414" s="136"/>
      <c r="O414" s="11"/>
      <c r="P414" s="136"/>
      <c r="Q414" s="140"/>
      <c r="R414" s="136"/>
      <c r="S414" s="136"/>
      <c r="T414" s="136"/>
      <c r="U414" s="136">
        <f t="shared" si="103"/>
        <v>152.050412</v>
      </c>
    </row>
    <row r="415" spans="1:21" ht="15" outlineLevel="2">
      <c r="A415" s="6" t="s">
        <v>417</v>
      </c>
      <c r="B415" s="7" t="s">
        <v>73</v>
      </c>
      <c r="C415" s="7" t="s">
        <v>74</v>
      </c>
      <c r="D415" s="8" t="s">
        <v>418</v>
      </c>
      <c r="E415" s="42" t="s">
        <v>76</v>
      </c>
      <c r="F415" s="39" t="s">
        <v>53</v>
      </c>
      <c r="G415" s="11" t="s">
        <v>66</v>
      </c>
      <c r="H415" s="136">
        <v>5.982263</v>
      </c>
      <c r="I415" s="140">
        <v>5</v>
      </c>
      <c r="J415" s="136">
        <f>I415*$J$2</f>
        <v>0.3</v>
      </c>
      <c r="K415" s="136">
        <v>30</v>
      </c>
      <c r="L415" s="139"/>
      <c r="M415" s="139"/>
      <c r="N415" s="136"/>
      <c r="O415" s="11"/>
      <c r="P415" s="136"/>
      <c r="Q415" s="140"/>
      <c r="R415" s="136"/>
      <c r="S415" s="136"/>
      <c r="T415" s="136"/>
      <c r="U415" s="136">
        <f t="shared" si="103"/>
        <v>36.282263</v>
      </c>
    </row>
    <row r="416" spans="1:21" ht="15" outlineLevel="2">
      <c r="A416" s="6" t="s">
        <v>417</v>
      </c>
      <c r="B416" s="7" t="s">
        <v>73</v>
      </c>
      <c r="C416" s="7" t="s">
        <v>74</v>
      </c>
      <c r="D416" s="8" t="s">
        <v>418</v>
      </c>
      <c r="E416" s="42" t="s">
        <v>76</v>
      </c>
      <c r="F416" s="39" t="s">
        <v>53</v>
      </c>
      <c r="G416" s="24" t="s">
        <v>90</v>
      </c>
      <c r="H416" s="136">
        <v>173.5453972</v>
      </c>
      <c r="I416" s="149">
        <v>623</v>
      </c>
      <c r="J416" s="136">
        <f>I416*$J$2</f>
        <v>37.379999999999995</v>
      </c>
      <c r="K416" s="136">
        <v>15</v>
      </c>
      <c r="L416" s="139"/>
      <c r="M416" s="139"/>
      <c r="N416" s="136"/>
      <c r="O416" s="11"/>
      <c r="P416" s="136"/>
      <c r="Q416" s="140"/>
      <c r="R416" s="136"/>
      <c r="S416" s="136"/>
      <c r="T416" s="136"/>
      <c r="U416" s="136">
        <f t="shared" si="103"/>
        <v>225.9253972</v>
      </c>
    </row>
    <row r="417" spans="1:21" ht="15" outlineLevel="2">
      <c r="A417" s="6" t="str">
        <f>A416</f>
        <v>M630</v>
      </c>
      <c r="B417" s="11" t="str">
        <f>B416</f>
        <v>DOH-ICS</v>
      </c>
      <c r="C417" s="11" t="str">
        <f>C416</f>
        <v>INTEGRATED CLINICAL SERVICES</v>
      </c>
      <c r="D417" s="13" t="str">
        <f>D416</f>
        <v>406600</v>
      </c>
      <c r="E417" s="24" t="str">
        <f>E416</f>
        <v>40-60</v>
      </c>
      <c r="F417" s="39" t="s">
        <v>585</v>
      </c>
      <c r="G417" s="24" t="s">
        <v>585</v>
      </c>
      <c r="H417" s="136"/>
      <c r="I417" s="149"/>
      <c r="J417" s="136"/>
      <c r="K417" s="136"/>
      <c r="L417" s="139">
        <v>4</v>
      </c>
      <c r="M417" s="139">
        <v>0.15</v>
      </c>
      <c r="N417" s="136">
        <f>L417*M417*$N$2</f>
        <v>1881</v>
      </c>
      <c r="O417" s="11"/>
      <c r="P417" s="136"/>
      <c r="Q417" s="140"/>
      <c r="R417" s="136"/>
      <c r="S417" s="136"/>
      <c r="T417" s="136"/>
      <c r="U417" s="136">
        <f t="shared" si="103"/>
        <v>1881</v>
      </c>
    </row>
    <row r="418" spans="1:21" s="5" customFormat="1" ht="15.75" outlineLevel="1">
      <c r="A418" s="1" t="s">
        <v>942</v>
      </c>
      <c r="B418" s="172"/>
      <c r="C418" s="2"/>
      <c r="D418" s="19"/>
      <c r="E418" s="44"/>
      <c r="F418" s="51"/>
      <c r="G418" s="2"/>
      <c r="H418" s="137">
        <f aca="true" t="shared" si="104" ref="H418:U418">SUBTOTAL(9,H411:H417)</f>
        <v>261.0657476</v>
      </c>
      <c r="I418" s="144">
        <f t="shared" si="104"/>
        <v>816</v>
      </c>
      <c r="J418" s="137">
        <f t="shared" si="104"/>
        <v>49.879999999999995</v>
      </c>
      <c r="K418" s="137">
        <f t="shared" si="104"/>
        <v>180</v>
      </c>
      <c r="L418" s="141">
        <f t="shared" si="104"/>
        <v>4</v>
      </c>
      <c r="M418" s="141">
        <f t="shared" si="104"/>
        <v>0.15</v>
      </c>
      <c r="N418" s="137">
        <f t="shared" si="104"/>
        <v>1881</v>
      </c>
      <c r="O418" s="45">
        <f t="shared" si="104"/>
        <v>0</v>
      </c>
      <c r="P418" s="137">
        <f t="shared" si="104"/>
        <v>0</v>
      </c>
      <c r="Q418" s="167">
        <f t="shared" si="104"/>
        <v>0</v>
      </c>
      <c r="R418" s="137">
        <f t="shared" si="104"/>
        <v>0</v>
      </c>
      <c r="S418" s="137">
        <f t="shared" si="104"/>
        <v>0</v>
      </c>
      <c r="T418" s="137">
        <f t="shared" si="104"/>
        <v>0</v>
      </c>
      <c r="U418" s="137">
        <f t="shared" si="104"/>
        <v>2371.9457476</v>
      </c>
    </row>
    <row r="419" spans="1:21" ht="15" outlineLevel="2">
      <c r="A419" s="6" t="s">
        <v>419</v>
      </c>
      <c r="B419" s="7" t="s">
        <v>73</v>
      </c>
      <c r="C419" s="7" t="s">
        <v>74</v>
      </c>
      <c r="D419" s="8" t="s">
        <v>420</v>
      </c>
      <c r="E419" s="42" t="s">
        <v>125</v>
      </c>
      <c r="F419" s="39" t="s">
        <v>53</v>
      </c>
      <c r="G419" s="24" t="s">
        <v>62</v>
      </c>
      <c r="H419" s="136">
        <v>851.2293622000002</v>
      </c>
      <c r="I419" s="149">
        <v>2537</v>
      </c>
      <c r="J419" s="136">
        <f>I419*$J$1</f>
        <v>253.70000000000002</v>
      </c>
      <c r="K419" s="136">
        <v>15</v>
      </c>
      <c r="L419" s="139"/>
      <c r="M419" s="139"/>
      <c r="N419" s="136"/>
      <c r="O419" s="11"/>
      <c r="P419" s="136"/>
      <c r="Q419" s="140"/>
      <c r="R419" s="136"/>
      <c r="S419" s="136"/>
      <c r="T419" s="136"/>
      <c r="U419" s="136">
        <f aca="true" t="shared" si="105" ref="U419:U427">H419+J419+K419+N419+P419+R419+S419+T419</f>
        <v>1119.9293622000002</v>
      </c>
    </row>
    <row r="420" spans="1:21" ht="15" outlineLevel="2">
      <c r="A420" s="6" t="s">
        <v>419</v>
      </c>
      <c r="B420" s="7" t="s">
        <v>73</v>
      </c>
      <c r="C420" s="7" t="s">
        <v>74</v>
      </c>
      <c r="D420" s="8" t="s">
        <v>420</v>
      </c>
      <c r="E420" s="42" t="s">
        <v>125</v>
      </c>
      <c r="F420" s="39" t="s">
        <v>53</v>
      </c>
      <c r="G420" s="24" t="s">
        <v>63</v>
      </c>
      <c r="H420" s="136">
        <v>282.870336</v>
      </c>
      <c r="I420" s="149">
        <v>104</v>
      </c>
      <c r="J420" s="136">
        <f>I420*$J$2</f>
        <v>6.24</v>
      </c>
      <c r="K420" s="136">
        <v>0</v>
      </c>
      <c r="L420" s="139"/>
      <c r="M420" s="139"/>
      <c r="N420" s="136"/>
      <c r="O420" s="11"/>
      <c r="P420" s="136"/>
      <c r="Q420" s="140"/>
      <c r="R420" s="136"/>
      <c r="S420" s="136"/>
      <c r="T420" s="136"/>
      <c r="U420" s="136">
        <f t="shared" si="105"/>
        <v>289.110336</v>
      </c>
    </row>
    <row r="421" spans="1:21" ht="15" outlineLevel="2">
      <c r="A421" s="6" t="s">
        <v>419</v>
      </c>
      <c r="B421" s="7" t="s">
        <v>73</v>
      </c>
      <c r="C421" s="7" t="s">
        <v>74</v>
      </c>
      <c r="D421" s="8" t="s">
        <v>420</v>
      </c>
      <c r="E421" s="42" t="s">
        <v>125</v>
      </c>
      <c r="F421" s="39" t="s">
        <v>53</v>
      </c>
      <c r="G421" s="24" t="s">
        <v>64</v>
      </c>
      <c r="H421" s="136">
        <v>279.02931420000004</v>
      </c>
      <c r="I421" s="149">
        <v>184</v>
      </c>
      <c r="J421" s="136">
        <f>I421*$J$2</f>
        <v>11.04</v>
      </c>
      <c r="K421" s="136">
        <v>0</v>
      </c>
      <c r="L421" s="139"/>
      <c r="M421" s="139"/>
      <c r="N421" s="136"/>
      <c r="O421" s="11"/>
      <c r="P421" s="136"/>
      <c r="Q421" s="140"/>
      <c r="R421" s="136"/>
      <c r="S421" s="136"/>
      <c r="T421" s="136"/>
      <c r="U421" s="136">
        <f t="shared" si="105"/>
        <v>290.06931420000006</v>
      </c>
    </row>
    <row r="422" spans="1:21" ht="15" outlineLevel="2">
      <c r="A422" s="6" t="s">
        <v>419</v>
      </c>
      <c r="B422" s="7" t="s">
        <v>73</v>
      </c>
      <c r="C422" s="7" t="s">
        <v>74</v>
      </c>
      <c r="D422" s="8" t="s">
        <v>420</v>
      </c>
      <c r="E422" s="42" t="s">
        <v>125</v>
      </c>
      <c r="F422" s="39" t="s">
        <v>53</v>
      </c>
      <c r="G422" s="24" t="s">
        <v>65</v>
      </c>
      <c r="H422" s="136">
        <v>1488.3031463999998</v>
      </c>
      <c r="I422" s="149">
        <v>2181</v>
      </c>
      <c r="J422" s="136">
        <f>I422*$J$2</f>
        <v>130.85999999999999</v>
      </c>
      <c r="K422" s="136">
        <v>135</v>
      </c>
      <c r="L422" s="139"/>
      <c r="M422" s="139"/>
      <c r="N422" s="136"/>
      <c r="O422" s="11"/>
      <c r="P422" s="136"/>
      <c r="Q422" s="140"/>
      <c r="R422" s="136"/>
      <c r="S422" s="136"/>
      <c r="T422" s="136"/>
      <c r="U422" s="136">
        <f t="shared" si="105"/>
        <v>1754.1631463999997</v>
      </c>
    </row>
    <row r="423" spans="1:21" ht="15" outlineLevel="2">
      <c r="A423" s="6" t="s">
        <v>419</v>
      </c>
      <c r="B423" s="7" t="s">
        <v>73</v>
      </c>
      <c r="C423" s="7" t="s">
        <v>74</v>
      </c>
      <c r="D423" s="8" t="s">
        <v>420</v>
      </c>
      <c r="E423" s="42" t="s">
        <v>125</v>
      </c>
      <c r="F423" s="39" t="s">
        <v>53</v>
      </c>
      <c r="G423" s="24" t="s">
        <v>66</v>
      </c>
      <c r="H423" s="136">
        <v>96.0349824</v>
      </c>
      <c r="I423" s="149">
        <v>81</v>
      </c>
      <c r="J423" s="136">
        <f>I423*$J$2</f>
        <v>4.859999999999999</v>
      </c>
      <c r="K423" s="136">
        <v>30</v>
      </c>
      <c r="L423" s="139"/>
      <c r="M423" s="139"/>
      <c r="N423" s="136"/>
      <c r="O423" s="11"/>
      <c r="P423" s="136"/>
      <c r="Q423" s="140"/>
      <c r="R423" s="136"/>
      <c r="S423" s="136"/>
      <c r="T423" s="136"/>
      <c r="U423" s="136">
        <f t="shared" si="105"/>
        <v>130.8949824</v>
      </c>
    </row>
    <row r="424" spans="1:21" ht="15" outlineLevel="2">
      <c r="A424" s="6" t="s">
        <v>419</v>
      </c>
      <c r="B424" s="7" t="s">
        <v>73</v>
      </c>
      <c r="C424" s="7" t="s">
        <v>74</v>
      </c>
      <c r="D424" s="8" t="s">
        <v>420</v>
      </c>
      <c r="E424" s="42" t="s">
        <v>125</v>
      </c>
      <c r="F424" s="39" t="s">
        <v>53</v>
      </c>
      <c r="G424" s="24" t="s">
        <v>90</v>
      </c>
      <c r="H424" s="136">
        <v>4.9619752</v>
      </c>
      <c r="I424" s="149">
        <v>18</v>
      </c>
      <c r="J424" s="136">
        <f>I424*$J$2</f>
        <v>1.08</v>
      </c>
      <c r="K424" s="136">
        <v>0</v>
      </c>
      <c r="L424" s="139"/>
      <c r="M424" s="139"/>
      <c r="N424" s="136"/>
      <c r="O424" s="11"/>
      <c r="P424" s="136"/>
      <c r="Q424" s="140"/>
      <c r="R424" s="136"/>
      <c r="S424" s="136"/>
      <c r="T424" s="136"/>
      <c r="U424" s="136">
        <f t="shared" si="105"/>
        <v>6.0419752</v>
      </c>
    </row>
    <row r="425" spans="1:21" ht="15" outlineLevel="2">
      <c r="A425" s="6" t="str">
        <f>A424</f>
        <v>M631</v>
      </c>
      <c r="B425" s="11" t="str">
        <f>B424</f>
        <v>DOH-ICS</v>
      </c>
      <c r="C425" s="11" t="str">
        <f>C424</f>
        <v>INTEGRATED CLINICAL SERVICES</v>
      </c>
      <c r="D425" s="13" t="str">
        <f>D424</f>
        <v>407650</v>
      </c>
      <c r="E425" s="24" t="str">
        <f>E424</f>
        <v>40-70</v>
      </c>
      <c r="F425" s="39" t="s">
        <v>585</v>
      </c>
      <c r="G425" s="24" t="s">
        <v>585</v>
      </c>
      <c r="H425" s="136"/>
      <c r="I425" s="149"/>
      <c r="J425" s="136"/>
      <c r="K425" s="136"/>
      <c r="L425" s="139">
        <v>4</v>
      </c>
      <c r="M425" s="139">
        <v>0.6</v>
      </c>
      <c r="N425" s="136">
        <f>L425*M425*$N$2</f>
        <v>7524</v>
      </c>
      <c r="O425" s="11"/>
      <c r="P425" s="136"/>
      <c r="Q425" s="140"/>
      <c r="R425" s="136"/>
      <c r="S425" s="136"/>
      <c r="T425" s="136"/>
      <c r="U425" s="136">
        <f t="shared" si="105"/>
        <v>7524</v>
      </c>
    </row>
    <row r="426" spans="1:21" ht="15" outlineLevel="2">
      <c r="A426" s="28" t="s">
        <v>419</v>
      </c>
      <c r="B426" s="11" t="str">
        <f aca="true" t="shared" si="106" ref="B426:E427">B425</f>
        <v>DOH-ICS</v>
      </c>
      <c r="C426" s="11" t="str">
        <f t="shared" si="106"/>
        <v>INTEGRATED CLINICAL SERVICES</v>
      </c>
      <c r="D426" s="13" t="str">
        <f t="shared" si="106"/>
        <v>407650</v>
      </c>
      <c r="E426" s="38" t="str">
        <f t="shared" si="106"/>
        <v>40-70</v>
      </c>
      <c r="F426" s="20" t="s">
        <v>615</v>
      </c>
      <c r="G426" s="11" t="s">
        <v>615</v>
      </c>
      <c r="H426" s="136"/>
      <c r="I426" s="140"/>
      <c r="J426" s="136"/>
      <c r="K426" s="136"/>
      <c r="L426" s="139"/>
      <c r="M426" s="139"/>
      <c r="N426" s="136"/>
      <c r="O426" s="29">
        <f>2+2.5</f>
        <v>4.5</v>
      </c>
      <c r="P426" s="136">
        <f>O426*$P$2</f>
        <v>324</v>
      </c>
      <c r="Q426" s="140"/>
      <c r="R426" s="136"/>
      <c r="S426" s="136"/>
      <c r="T426" s="136"/>
      <c r="U426" s="136">
        <f t="shared" si="105"/>
        <v>324</v>
      </c>
    </row>
    <row r="427" spans="1:21" ht="15" outlineLevel="2">
      <c r="A427" s="36" t="s">
        <v>667</v>
      </c>
      <c r="B427" s="11" t="str">
        <f t="shared" si="106"/>
        <v>DOH-ICS</v>
      </c>
      <c r="C427" s="11" t="str">
        <f t="shared" si="106"/>
        <v>INTEGRATED CLINICAL SERVICES</v>
      </c>
      <c r="D427" s="13" t="str">
        <f t="shared" si="106"/>
        <v>407650</v>
      </c>
      <c r="E427" s="27" t="str">
        <f t="shared" si="106"/>
        <v>40-70</v>
      </c>
      <c r="F427" s="20" t="s">
        <v>683</v>
      </c>
      <c r="G427" s="11" t="s">
        <v>683</v>
      </c>
      <c r="H427" s="136"/>
      <c r="I427" s="140"/>
      <c r="J427" s="136"/>
      <c r="K427" s="136"/>
      <c r="L427" s="139"/>
      <c r="M427" s="139"/>
      <c r="N427" s="136"/>
      <c r="O427" s="34"/>
      <c r="P427" s="136"/>
      <c r="Q427" s="140"/>
      <c r="R427" s="136"/>
      <c r="S427" s="136"/>
      <c r="T427" s="150">
        <f>65.58+22.54</f>
        <v>88.12</v>
      </c>
      <c r="U427" s="136">
        <f t="shared" si="105"/>
        <v>88.12</v>
      </c>
    </row>
    <row r="428" spans="1:21" s="5" customFormat="1" ht="15.75" outlineLevel="1">
      <c r="A428" s="1" t="s">
        <v>943</v>
      </c>
      <c r="B428" s="172"/>
      <c r="C428" s="2"/>
      <c r="D428" s="19"/>
      <c r="E428" s="44"/>
      <c r="F428" s="51"/>
      <c r="G428" s="2"/>
      <c r="H428" s="137">
        <f aca="true" t="shared" si="107" ref="H428:U428">SUBTOTAL(9,H419:H427)</f>
        <v>3002.4291164</v>
      </c>
      <c r="I428" s="144">
        <f t="shared" si="107"/>
        <v>5105</v>
      </c>
      <c r="J428" s="137">
        <f t="shared" si="107"/>
        <v>407.78000000000003</v>
      </c>
      <c r="K428" s="137">
        <f t="shared" si="107"/>
        <v>180</v>
      </c>
      <c r="L428" s="141">
        <f t="shared" si="107"/>
        <v>4</v>
      </c>
      <c r="M428" s="141">
        <f t="shared" si="107"/>
        <v>0.6</v>
      </c>
      <c r="N428" s="137">
        <f t="shared" si="107"/>
        <v>7524</v>
      </c>
      <c r="O428" s="45">
        <f t="shared" si="107"/>
        <v>4.5</v>
      </c>
      <c r="P428" s="137">
        <f t="shared" si="107"/>
        <v>324</v>
      </c>
      <c r="Q428" s="167">
        <f t="shared" si="107"/>
        <v>0</v>
      </c>
      <c r="R428" s="137">
        <f t="shared" si="107"/>
        <v>0</v>
      </c>
      <c r="S428" s="137">
        <f t="shared" si="107"/>
        <v>0</v>
      </c>
      <c r="T428" s="137">
        <f t="shared" si="107"/>
        <v>88.12</v>
      </c>
      <c r="U428" s="137">
        <f t="shared" si="107"/>
        <v>11526.3291164</v>
      </c>
    </row>
    <row r="429" spans="1:21" ht="15" outlineLevel="2">
      <c r="A429" s="6" t="s">
        <v>421</v>
      </c>
      <c r="B429" s="7" t="s">
        <v>92</v>
      </c>
      <c r="C429" s="7" t="s">
        <v>93</v>
      </c>
      <c r="D429" s="8" t="s">
        <v>365</v>
      </c>
      <c r="E429" s="42" t="s">
        <v>355</v>
      </c>
      <c r="F429" s="39" t="s">
        <v>53</v>
      </c>
      <c r="G429" s="24" t="s">
        <v>63</v>
      </c>
      <c r="H429" s="136">
        <v>2.2544899999999997</v>
      </c>
      <c r="I429" s="149">
        <v>1</v>
      </c>
      <c r="J429" s="136">
        <f>I429*$J$2</f>
        <v>0.06</v>
      </c>
      <c r="K429" s="136">
        <v>0</v>
      </c>
      <c r="L429" s="139"/>
      <c r="M429" s="139"/>
      <c r="N429" s="136"/>
      <c r="O429" s="11"/>
      <c r="P429" s="136"/>
      <c r="Q429" s="140"/>
      <c r="R429" s="136"/>
      <c r="S429" s="136"/>
      <c r="T429" s="136"/>
      <c r="U429" s="136">
        <f>H429+J429+K429+N429+P429+R429+S429+T429</f>
        <v>2.3144899999999997</v>
      </c>
    </row>
    <row r="430" spans="1:21" ht="15" outlineLevel="2">
      <c r="A430" s="6" t="s">
        <v>421</v>
      </c>
      <c r="B430" s="7" t="s">
        <v>92</v>
      </c>
      <c r="C430" s="7" t="s">
        <v>93</v>
      </c>
      <c r="D430" s="8" t="s">
        <v>365</v>
      </c>
      <c r="E430" s="42" t="s">
        <v>355</v>
      </c>
      <c r="F430" s="39" t="s">
        <v>53</v>
      </c>
      <c r="G430" s="24" t="s">
        <v>65</v>
      </c>
      <c r="H430" s="136">
        <v>12.352507999999998</v>
      </c>
      <c r="I430" s="149">
        <v>22</v>
      </c>
      <c r="J430" s="136">
        <f>I430*$J$2</f>
        <v>1.3199999999999998</v>
      </c>
      <c r="K430" s="136">
        <v>120</v>
      </c>
      <c r="L430" s="139"/>
      <c r="M430" s="139"/>
      <c r="N430" s="136"/>
      <c r="O430" s="11"/>
      <c r="P430" s="136"/>
      <c r="Q430" s="140"/>
      <c r="R430" s="136"/>
      <c r="S430" s="136"/>
      <c r="T430" s="136"/>
      <c r="U430" s="136">
        <f>H430+J430+K430+N430+P430+R430+S430+T430</f>
        <v>133.672508</v>
      </c>
    </row>
    <row r="431" spans="1:21" ht="15" outlineLevel="2">
      <c r="A431" s="6" t="s">
        <v>421</v>
      </c>
      <c r="B431" s="7" t="s">
        <v>92</v>
      </c>
      <c r="C431" s="7" t="s">
        <v>93</v>
      </c>
      <c r="D431" s="8" t="s">
        <v>365</v>
      </c>
      <c r="E431" s="42" t="s">
        <v>355</v>
      </c>
      <c r="F431" s="39" t="s">
        <v>53</v>
      </c>
      <c r="G431" s="24" t="s">
        <v>66</v>
      </c>
      <c r="H431" s="136">
        <v>2.5407578</v>
      </c>
      <c r="I431" s="149">
        <v>1</v>
      </c>
      <c r="J431" s="136">
        <f>I431*$J$2</f>
        <v>0.06</v>
      </c>
      <c r="K431" s="136">
        <v>0</v>
      </c>
      <c r="L431" s="139"/>
      <c r="M431" s="139"/>
      <c r="N431" s="136"/>
      <c r="O431" s="11"/>
      <c r="P431" s="136"/>
      <c r="Q431" s="140"/>
      <c r="R431" s="136"/>
      <c r="S431" s="136"/>
      <c r="T431" s="136"/>
      <c r="U431" s="136">
        <f>H431+J431+K431+N431+P431+R431+S431+T431</f>
        <v>2.6007578000000002</v>
      </c>
    </row>
    <row r="432" spans="1:21" s="5" customFormat="1" ht="15.75" outlineLevel="1">
      <c r="A432" s="1" t="s">
        <v>944</v>
      </c>
      <c r="B432" s="172"/>
      <c r="C432" s="2"/>
      <c r="D432" s="19"/>
      <c r="E432" s="44"/>
      <c r="F432" s="51"/>
      <c r="G432" s="2"/>
      <c r="H432" s="137">
        <f aca="true" t="shared" si="108" ref="H432:U432">SUBTOTAL(9,H429:H431)</f>
        <v>17.1477558</v>
      </c>
      <c r="I432" s="144">
        <f t="shared" si="108"/>
        <v>24</v>
      </c>
      <c r="J432" s="137">
        <f t="shared" si="108"/>
        <v>1.44</v>
      </c>
      <c r="K432" s="137">
        <f t="shared" si="108"/>
        <v>120</v>
      </c>
      <c r="L432" s="141">
        <f t="shared" si="108"/>
        <v>0</v>
      </c>
      <c r="M432" s="141">
        <f t="shared" si="108"/>
        <v>0</v>
      </c>
      <c r="N432" s="137">
        <f t="shared" si="108"/>
        <v>0</v>
      </c>
      <c r="O432" s="45">
        <f t="shared" si="108"/>
        <v>0</v>
      </c>
      <c r="P432" s="137">
        <f t="shared" si="108"/>
        <v>0</v>
      </c>
      <c r="Q432" s="167">
        <f t="shared" si="108"/>
        <v>0</v>
      </c>
      <c r="R432" s="137">
        <f t="shared" si="108"/>
        <v>0</v>
      </c>
      <c r="S432" s="137">
        <f t="shared" si="108"/>
        <v>0</v>
      </c>
      <c r="T432" s="137">
        <f t="shared" si="108"/>
        <v>0</v>
      </c>
      <c r="U432" s="137">
        <f t="shared" si="108"/>
        <v>138.5877558</v>
      </c>
    </row>
    <row r="433" spans="1:21" ht="15" outlineLevel="2">
      <c r="A433" s="6" t="s">
        <v>422</v>
      </c>
      <c r="B433" s="7" t="s">
        <v>73</v>
      </c>
      <c r="C433" s="7" t="s">
        <v>74</v>
      </c>
      <c r="D433" s="8" t="s">
        <v>423</v>
      </c>
      <c r="E433" s="42" t="s">
        <v>416</v>
      </c>
      <c r="F433" s="39" t="s">
        <v>53</v>
      </c>
      <c r="G433" s="24" t="s">
        <v>62</v>
      </c>
      <c r="H433" s="136">
        <v>3348.2857085999995</v>
      </c>
      <c r="I433" s="149">
        <v>10165</v>
      </c>
      <c r="J433" s="136">
        <f>I433*$J$1</f>
        <v>1016.5</v>
      </c>
      <c r="K433" s="136">
        <v>60</v>
      </c>
      <c r="L433" s="139"/>
      <c r="M433" s="139"/>
      <c r="N433" s="136"/>
      <c r="O433" s="11"/>
      <c r="P433" s="136"/>
      <c r="Q433" s="140"/>
      <c r="R433" s="136"/>
      <c r="S433" s="136"/>
      <c r="T433" s="136"/>
      <c r="U433" s="136">
        <f aca="true" t="shared" si="109" ref="U433:U438">H433+J433+K433+N433+P433+R433+S433+T433</f>
        <v>4424.785708599999</v>
      </c>
    </row>
    <row r="434" spans="1:21" ht="15" outlineLevel="2">
      <c r="A434" s="6" t="s">
        <v>422</v>
      </c>
      <c r="B434" s="7" t="s">
        <v>73</v>
      </c>
      <c r="C434" s="7" t="s">
        <v>74</v>
      </c>
      <c r="D434" s="8" t="s">
        <v>423</v>
      </c>
      <c r="E434" s="42" t="s">
        <v>416</v>
      </c>
      <c r="F434" s="39" t="s">
        <v>53</v>
      </c>
      <c r="G434" s="24" t="s">
        <v>63</v>
      </c>
      <c r="H434" s="136">
        <v>24.023426</v>
      </c>
      <c r="I434" s="149">
        <v>8</v>
      </c>
      <c r="J434" s="136">
        <f>I434*$J$2</f>
        <v>0.48</v>
      </c>
      <c r="K434" s="136">
        <v>0</v>
      </c>
      <c r="L434" s="139"/>
      <c r="M434" s="139"/>
      <c r="N434" s="136"/>
      <c r="O434" s="11"/>
      <c r="P434" s="136"/>
      <c r="Q434" s="140"/>
      <c r="R434" s="136"/>
      <c r="S434" s="136"/>
      <c r="T434" s="136"/>
      <c r="U434" s="136">
        <f t="shared" si="109"/>
        <v>24.503426</v>
      </c>
    </row>
    <row r="435" spans="1:21" ht="15" outlineLevel="2">
      <c r="A435" s="6" t="s">
        <v>422</v>
      </c>
      <c r="B435" s="7" t="s">
        <v>73</v>
      </c>
      <c r="C435" s="7" t="s">
        <v>74</v>
      </c>
      <c r="D435" s="8" t="s">
        <v>423</v>
      </c>
      <c r="E435" s="42" t="s">
        <v>416</v>
      </c>
      <c r="F435" s="39" t="s">
        <v>53</v>
      </c>
      <c r="G435" s="24" t="s">
        <v>64</v>
      </c>
      <c r="H435" s="136">
        <v>2.275462</v>
      </c>
      <c r="I435" s="149">
        <v>2</v>
      </c>
      <c r="J435" s="136">
        <f>I435*$J$2</f>
        <v>0.12</v>
      </c>
      <c r="K435" s="136">
        <v>0</v>
      </c>
      <c r="L435" s="139"/>
      <c r="M435" s="139"/>
      <c r="N435" s="136"/>
      <c r="O435" s="11"/>
      <c r="P435" s="136"/>
      <c r="Q435" s="140"/>
      <c r="R435" s="136"/>
      <c r="S435" s="136"/>
      <c r="T435" s="136"/>
      <c r="U435" s="136">
        <f t="shared" si="109"/>
        <v>2.395462</v>
      </c>
    </row>
    <row r="436" spans="1:21" ht="15" outlineLevel="2">
      <c r="A436" s="6" t="s">
        <v>422</v>
      </c>
      <c r="B436" s="7" t="s">
        <v>73</v>
      </c>
      <c r="C436" s="7" t="s">
        <v>74</v>
      </c>
      <c r="D436" s="8" t="s">
        <v>423</v>
      </c>
      <c r="E436" s="42" t="s">
        <v>416</v>
      </c>
      <c r="F436" s="39" t="s">
        <v>53</v>
      </c>
      <c r="G436" s="24" t="s">
        <v>65</v>
      </c>
      <c r="H436" s="136">
        <v>1708.4986603999998</v>
      </c>
      <c r="I436" s="149">
        <v>6016</v>
      </c>
      <c r="J436" s="136">
        <f>I436*$J$2</f>
        <v>360.96</v>
      </c>
      <c r="K436" s="136">
        <v>90</v>
      </c>
      <c r="L436" s="139"/>
      <c r="M436" s="139"/>
      <c r="N436" s="136"/>
      <c r="O436" s="11"/>
      <c r="P436" s="136"/>
      <c r="Q436" s="140"/>
      <c r="R436" s="136"/>
      <c r="S436" s="136"/>
      <c r="T436" s="136"/>
      <c r="U436" s="136">
        <f t="shared" si="109"/>
        <v>2159.4586603999996</v>
      </c>
    </row>
    <row r="437" spans="1:21" ht="15" outlineLevel="2">
      <c r="A437" s="6" t="s">
        <v>422</v>
      </c>
      <c r="B437" s="7" t="s">
        <v>73</v>
      </c>
      <c r="C437" s="7" t="s">
        <v>74</v>
      </c>
      <c r="D437" s="8" t="s">
        <v>423</v>
      </c>
      <c r="E437" s="42" t="s">
        <v>416</v>
      </c>
      <c r="F437" s="39" t="s">
        <v>53</v>
      </c>
      <c r="G437" s="24" t="s">
        <v>90</v>
      </c>
      <c r="H437" s="136">
        <v>1397.8005775999998</v>
      </c>
      <c r="I437" s="149">
        <v>5097</v>
      </c>
      <c r="J437" s="136">
        <f>I437*$J$2</f>
        <v>305.82</v>
      </c>
      <c r="K437" s="136">
        <v>30</v>
      </c>
      <c r="L437" s="139"/>
      <c r="M437" s="139"/>
      <c r="N437" s="136"/>
      <c r="O437" s="11"/>
      <c r="P437" s="136"/>
      <c r="Q437" s="140"/>
      <c r="R437" s="136"/>
      <c r="S437" s="136"/>
      <c r="T437" s="136"/>
      <c r="U437" s="136">
        <f t="shared" si="109"/>
        <v>1733.6205775999997</v>
      </c>
    </row>
    <row r="438" spans="1:21" ht="15" outlineLevel="2">
      <c r="A438" s="6" t="str">
        <f>A437</f>
        <v>M634</v>
      </c>
      <c r="B438" s="11" t="str">
        <f>B437</f>
        <v>DOH-ICS</v>
      </c>
      <c r="C438" s="11" t="str">
        <f>C437</f>
        <v>INTEGRATED CLINICAL SERVICES</v>
      </c>
      <c r="D438" s="13" t="str">
        <f>D437</f>
        <v>404415</v>
      </c>
      <c r="E438" s="24" t="str">
        <f>E437</f>
        <v>40-44</v>
      </c>
      <c r="F438" s="39" t="s">
        <v>585</v>
      </c>
      <c r="G438" s="24" t="s">
        <v>585</v>
      </c>
      <c r="H438" s="136"/>
      <c r="I438" s="149"/>
      <c r="J438" s="136"/>
      <c r="K438" s="136"/>
      <c r="L438" s="139">
        <v>4</v>
      </c>
      <c r="M438" s="139">
        <v>0.25</v>
      </c>
      <c r="N438" s="136">
        <f>L438*M438*$N$2</f>
        <v>3135</v>
      </c>
      <c r="O438" s="11"/>
      <c r="P438" s="136"/>
      <c r="Q438" s="140"/>
      <c r="R438" s="136"/>
      <c r="S438" s="136"/>
      <c r="T438" s="136"/>
      <c r="U438" s="136">
        <f t="shared" si="109"/>
        <v>3135</v>
      </c>
    </row>
    <row r="439" spans="1:21" s="5" customFormat="1" ht="15.75" outlineLevel="1">
      <c r="A439" s="1" t="s">
        <v>945</v>
      </c>
      <c r="B439" s="172"/>
      <c r="C439" s="2"/>
      <c r="D439" s="19"/>
      <c r="E439" s="44"/>
      <c r="F439" s="51"/>
      <c r="G439" s="2"/>
      <c r="H439" s="137">
        <f aca="true" t="shared" si="110" ref="H439:U439">SUBTOTAL(9,H433:H438)</f>
        <v>6480.883834599999</v>
      </c>
      <c r="I439" s="144">
        <f t="shared" si="110"/>
        <v>21288</v>
      </c>
      <c r="J439" s="137">
        <f t="shared" si="110"/>
        <v>1683.8799999999999</v>
      </c>
      <c r="K439" s="137">
        <f t="shared" si="110"/>
        <v>180</v>
      </c>
      <c r="L439" s="141">
        <f t="shared" si="110"/>
        <v>4</v>
      </c>
      <c r="M439" s="141">
        <f t="shared" si="110"/>
        <v>0.25</v>
      </c>
      <c r="N439" s="137">
        <f t="shared" si="110"/>
        <v>3135</v>
      </c>
      <c r="O439" s="45">
        <f t="shared" si="110"/>
        <v>0</v>
      </c>
      <c r="P439" s="137">
        <f t="shared" si="110"/>
        <v>0</v>
      </c>
      <c r="Q439" s="167">
        <f t="shared" si="110"/>
        <v>0</v>
      </c>
      <c r="R439" s="137">
        <f t="shared" si="110"/>
        <v>0</v>
      </c>
      <c r="S439" s="137">
        <f t="shared" si="110"/>
        <v>0</v>
      </c>
      <c r="T439" s="137">
        <f t="shared" si="110"/>
        <v>0</v>
      </c>
      <c r="U439" s="137">
        <f t="shared" si="110"/>
        <v>11479.763834599999</v>
      </c>
    </row>
    <row r="440" spans="1:21" ht="15" outlineLevel="2">
      <c r="A440" s="6" t="s">
        <v>424</v>
      </c>
      <c r="B440" s="7" t="s">
        <v>73</v>
      </c>
      <c r="C440" s="7" t="s">
        <v>74</v>
      </c>
      <c r="D440" s="8" t="s">
        <v>425</v>
      </c>
      <c r="E440" s="42" t="s">
        <v>125</v>
      </c>
      <c r="F440" s="39" t="s">
        <v>53</v>
      </c>
      <c r="G440" s="24" t="s">
        <v>62</v>
      </c>
      <c r="H440" s="136">
        <v>903.6037864000011</v>
      </c>
      <c r="I440" s="149">
        <v>2712</v>
      </c>
      <c r="J440" s="136">
        <f>I440*$J$1</f>
        <v>271.2</v>
      </c>
      <c r="K440" s="136">
        <v>15</v>
      </c>
      <c r="L440" s="139"/>
      <c r="M440" s="139"/>
      <c r="N440" s="136"/>
      <c r="O440" s="11"/>
      <c r="P440" s="136"/>
      <c r="Q440" s="140"/>
      <c r="R440" s="136"/>
      <c r="S440" s="136"/>
      <c r="T440" s="136"/>
      <c r="U440" s="136">
        <f aca="true" t="shared" si="111" ref="U440:U447">H440+J440+K440+N440+P440+R440+S440+T440</f>
        <v>1189.8037864000012</v>
      </c>
    </row>
    <row r="441" spans="1:21" ht="15" outlineLevel="2">
      <c r="A441" s="6" t="s">
        <v>424</v>
      </c>
      <c r="B441" s="7" t="s">
        <v>73</v>
      </c>
      <c r="C441" s="7" t="s">
        <v>74</v>
      </c>
      <c r="D441" s="8" t="s">
        <v>425</v>
      </c>
      <c r="E441" s="42" t="s">
        <v>125</v>
      </c>
      <c r="F441" s="39" t="s">
        <v>53</v>
      </c>
      <c r="G441" s="24" t="s">
        <v>63</v>
      </c>
      <c r="H441" s="136">
        <v>855.741488</v>
      </c>
      <c r="I441" s="149">
        <v>244</v>
      </c>
      <c r="J441" s="136">
        <f>I441*$J$2</f>
        <v>14.639999999999999</v>
      </c>
      <c r="K441" s="136">
        <v>0</v>
      </c>
      <c r="L441" s="139"/>
      <c r="M441" s="139"/>
      <c r="N441" s="136"/>
      <c r="O441" s="11"/>
      <c r="P441" s="136"/>
      <c r="Q441" s="140"/>
      <c r="R441" s="136"/>
      <c r="S441" s="136"/>
      <c r="T441" s="136"/>
      <c r="U441" s="136">
        <f t="shared" si="111"/>
        <v>870.381488</v>
      </c>
    </row>
    <row r="442" spans="1:21" ht="15" outlineLevel="2">
      <c r="A442" s="6" t="s">
        <v>424</v>
      </c>
      <c r="B442" s="7" t="s">
        <v>73</v>
      </c>
      <c r="C442" s="7" t="s">
        <v>74</v>
      </c>
      <c r="D442" s="8" t="s">
        <v>425</v>
      </c>
      <c r="E442" s="42" t="s">
        <v>125</v>
      </c>
      <c r="F442" s="39" t="s">
        <v>53</v>
      </c>
      <c r="G442" s="24" t="s">
        <v>64</v>
      </c>
      <c r="H442" s="136">
        <v>754.7445303999999</v>
      </c>
      <c r="I442" s="149">
        <v>414</v>
      </c>
      <c r="J442" s="136">
        <f>I442*$J$2</f>
        <v>24.84</v>
      </c>
      <c r="K442" s="136">
        <v>0</v>
      </c>
      <c r="L442" s="139"/>
      <c r="M442" s="139"/>
      <c r="N442" s="136"/>
      <c r="O442" s="11"/>
      <c r="P442" s="136"/>
      <c r="Q442" s="140"/>
      <c r="R442" s="136"/>
      <c r="S442" s="136"/>
      <c r="T442" s="136"/>
      <c r="U442" s="136">
        <f t="shared" si="111"/>
        <v>779.5845304</v>
      </c>
    </row>
    <row r="443" spans="1:21" ht="15" outlineLevel="2">
      <c r="A443" s="6" t="s">
        <v>424</v>
      </c>
      <c r="B443" s="7" t="s">
        <v>73</v>
      </c>
      <c r="C443" s="7" t="s">
        <v>74</v>
      </c>
      <c r="D443" s="8" t="s">
        <v>425</v>
      </c>
      <c r="E443" s="42" t="s">
        <v>125</v>
      </c>
      <c r="F443" s="39" t="s">
        <v>53</v>
      </c>
      <c r="G443" s="24" t="s">
        <v>65</v>
      </c>
      <c r="H443" s="136">
        <v>1741.3429095999998</v>
      </c>
      <c r="I443" s="149">
        <v>3049</v>
      </c>
      <c r="J443" s="136">
        <f>I443*$J$2</f>
        <v>182.94</v>
      </c>
      <c r="K443" s="136">
        <v>150</v>
      </c>
      <c r="L443" s="139"/>
      <c r="M443" s="139"/>
      <c r="N443" s="136"/>
      <c r="O443" s="11"/>
      <c r="P443" s="136"/>
      <c r="Q443" s="140"/>
      <c r="R443" s="136"/>
      <c r="S443" s="136"/>
      <c r="T443" s="136"/>
      <c r="U443" s="136">
        <f t="shared" si="111"/>
        <v>2074.2829095999996</v>
      </c>
    </row>
    <row r="444" spans="1:21" ht="15" outlineLevel="2">
      <c r="A444" s="6" t="s">
        <v>424</v>
      </c>
      <c r="B444" s="7" t="s">
        <v>73</v>
      </c>
      <c r="C444" s="7" t="s">
        <v>74</v>
      </c>
      <c r="D444" s="8" t="s">
        <v>425</v>
      </c>
      <c r="E444" s="42" t="s">
        <v>125</v>
      </c>
      <c r="F444" s="39" t="s">
        <v>53</v>
      </c>
      <c r="G444" s="24" t="s">
        <v>66</v>
      </c>
      <c r="H444" s="136">
        <v>165.29815819999996</v>
      </c>
      <c r="I444" s="149">
        <v>137</v>
      </c>
      <c r="J444" s="136">
        <f>I444*$J$2</f>
        <v>8.219999999999999</v>
      </c>
      <c r="K444" s="136">
        <v>15</v>
      </c>
      <c r="L444" s="139"/>
      <c r="M444" s="139"/>
      <c r="N444" s="136"/>
      <c r="O444" s="11"/>
      <c r="P444" s="136"/>
      <c r="Q444" s="140"/>
      <c r="R444" s="136"/>
      <c r="S444" s="136"/>
      <c r="T444" s="136"/>
      <c r="U444" s="136">
        <f t="shared" si="111"/>
        <v>188.51815819999996</v>
      </c>
    </row>
    <row r="445" spans="1:21" ht="15" outlineLevel="2">
      <c r="A445" s="6" t="s">
        <v>424</v>
      </c>
      <c r="B445" s="7" t="s">
        <v>73</v>
      </c>
      <c r="C445" s="7" t="s">
        <v>74</v>
      </c>
      <c r="D445" s="8" t="s">
        <v>425</v>
      </c>
      <c r="E445" s="42" t="s">
        <v>125</v>
      </c>
      <c r="F445" s="39" t="s">
        <v>53</v>
      </c>
      <c r="G445" s="11" t="s">
        <v>286</v>
      </c>
      <c r="H445" s="136">
        <v>28.773584</v>
      </c>
      <c r="I445" s="140">
        <v>14</v>
      </c>
      <c r="J445" s="136">
        <f>I445*$J$2</f>
        <v>0.84</v>
      </c>
      <c r="K445" s="136">
        <v>0</v>
      </c>
      <c r="L445" s="139"/>
      <c r="M445" s="139"/>
      <c r="N445" s="136"/>
      <c r="O445" s="11"/>
      <c r="P445" s="136"/>
      <c r="Q445" s="140"/>
      <c r="R445" s="136"/>
      <c r="S445" s="136"/>
      <c r="T445" s="136"/>
      <c r="U445" s="136">
        <f t="shared" si="111"/>
        <v>29.613584</v>
      </c>
    </row>
    <row r="446" spans="1:21" ht="15" outlineLevel="2">
      <c r="A446" s="6" t="str">
        <f>A445</f>
        <v>M641</v>
      </c>
      <c r="B446" s="11" t="str">
        <f>B445</f>
        <v>DOH-ICS</v>
      </c>
      <c r="C446" s="11" t="str">
        <f>C445</f>
        <v>INTEGRATED CLINICAL SERVICES</v>
      </c>
      <c r="D446" s="13" t="str">
        <f>D445</f>
        <v>407600</v>
      </c>
      <c r="E446" s="24" t="str">
        <f>E445</f>
        <v>40-70</v>
      </c>
      <c r="F446" s="39" t="s">
        <v>585</v>
      </c>
      <c r="G446" s="24" t="s">
        <v>585</v>
      </c>
      <c r="H446" s="136"/>
      <c r="I446" s="140"/>
      <c r="J446" s="136"/>
      <c r="K446" s="136"/>
      <c r="L446" s="139">
        <v>4</v>
      </c>
      <c r="M446" s="139">
        <v>1</v>
      </c>
      <c r="N446" s="136">
        <f>L446*M446*$N$2</f>
        <v>12540</v>
      </c>
      <c r="O446" s="11"/>
      <c r="P446" s="136"/>
      <c r="Q446" s="140"/>
      <c r="R446" s="136"/>
      <c r="S446" s="136"/>
      <c r="T446" s="136"/>
      <c r="U446" s="136">
        <f t="shared" si="111"/>
        <v>12540</v>
      </c>
    </row>
    <row r="447" spans="1:21" ht="15" outlineLevel="2">
      <c r="A447" s="36" t="s">
        <v>424</v>
      </c>
      <c r="B447" s="11" t="str">
        <f>B446</f>
        <v>DOH-ICS</v>
      </c>
      <c r="C447" s="11" t="str">
        <f>C446</f>
        <v>INTEGRATED CLINICAL SERVICES</v>
      </c>
      <c r="D447" s="13" t="str">
        <f>D446</f>
        <v>407600</v>
      </c>
      <c r="E447" s="27" t="str">
        <f>E446</f>
        <v>40-70</v>
      </c>
      <c r="F447" s="20" t="s">
        <v>683</v>
      </c>
      <c r="G447" s="11" t="s">
        <v>683</v>
      </c>
      <c r="H447" s="136"/>
      <c r="I447" s="140"/>
      <c r="J447" s="136"/>
      <c r="K447" s="136"/>
      <c r="L447" s="139"/>
      <c r="M447" s="139"/>
      <c r="N447" s="136"/>
      <c r="O447" s="34"/>
      <c r="P447" s="136"/>
      <c r="Q447" s="140"/>
      <c r="R447" s="136"/>
      <c r="S447" s="136"/>
      <c r="T447" s="150">
        <v>61.43</v>
      </c>
      <c r="U447" s="136">
        <f t="shared" si="111"/>
        <v>61.43</v>
      </c>
    </row>
    <row r="448" spans="1:21" s="5" customFormat="1" ht="15.75" outlineLevel="1">
      <c r="A448" s="1" t="s">
        <v>946</v>
      </c>
      <c r="B448" s="172"/>
      <c r="C448" s="2"/>
      <c r="D448" s="19"/>
      <c r="E448" s="44"/>
      <c r="F448" s="51"/>
      <c r="G448" s="2"/>
      <c r="H448" s="137">
        <f aca="true" t="shared" si="112" ref="H448:U448">SUBTOTAL(9,H440:H447)</f>
        <v>4449.504456600001</v>
      </c>
      <c r="I448" s="144">
        <f t="shared" si="112"/>
        <v>6570</v>
      </c>
      <c r="J448" s="137">
        <f t="shared" si="112"/>
        <v>502.6799999999999</v>
      </c>
      <c r="K448" s="137">
        <f t="shared" si="112"/>
        <v>180</v>
      </c>
      <c r="L448" s="141">
        <f t="shared" si="112"/>
        <v>4</v>
      </c>
      <c r="M448" s="141">
        <f t="shared" si="112"/>
        <v>1</v>
      </c>
      <c r="N448" s="137">
        <f t="shared" si="112"/>
        <v>12540</v>
      </c>
      <c r="O448" s="45">
        <f t="shared" si="112"/>
        <v>0</v>
      </c>
      <c r="P448" s="137">
        <f t="shared" si="112"/>
        <v>0</v>
      </c>
      <c r="Q448" s="167">
        <f t="shared" si="112"/>
        <v>0</v>
      </c>
      <c r="R448" s="137">
        <f t="shared" si="112"/>
        <v>0</v>
      </c>
      <c r="S448" s="137">
        <f t="shared" si="112"/>
        <v>0</v>
      </c>
      <c r="T448" s="137">
        <f t="shared" si="112"/>
        <v>61.43</v>
      </c>
      <c r="U448" s="137">
        <f t="shared" si="112"/>
        <v>17733.6144566</v>
      </c>
    </row>
    <row r="449" spans="1:21" ht="15" outlineLevel="2">
      <c r="A449" s="6" t="s">
        <v>426</v>
      </c>
      <c r="B449" s="7" t="s">
        <v>73</v>
      </c>
      <c r="C449" s="7" t="s">
        <v>74</v>
      </c>
      <c r="D449" s="8" t="s">
        <v>427</v>
      </c>
      <c r="E449" s="42" t="s">
        <v>76</v>
      </c>
      <c r="F449" s="39" t="s">
        <v>53</v>
      </c>
      <c r="G449" s="24" t="s">
        <v>62</v>
      </c>
      <c r="H449" s="136">
        <v>9.590495599999999</v>
      </c>
      <c r="I449" s="149">
        <v>29</v>
      </c>
      <c r="J449" s="136">
        <f>I449*$J$1</f>
        <v>2.9000000000000004</v>
      </c>
      <c r="K449" s="136">
        <v>60</v>
      </c>
      <c r="L449" s="139"/>
      <c r="M449" s="139"/>
      <c r="N449" s="136"/>
      <c r="O449" s="11"/>
      <c r="P449" s="136"/>
      <c r="Q449" s="140"/>
      <c r="R449" s="136"/>
      <c r="S449" s="136"/>
      <c r="T449" s="136"/>
      <c r="U449" s="136">
        <f aca="true" t="shared" si="113" ref="U449:U455">H449+J449+K449+N449+P449+R449+S449+T449</f>
        <v>72.4904956</v>
      </c>
    </row>
    <row r="450" spans="1:21" ht="15" outlineLevel="2">
      <c r="A450" s="6" t="s">
        <v>426</v>
      </c>
      <c r="B450" s="7" t="s">
        <v>73</v>
      </c>
      <c r="C450" s="7" t="s">
        <v>74</v>
      </c>
      <c r="D450" s="8" t="s">
        <v>427</v>
      </c>
      <c r="E450" s="42" t="s">
        <v>76</v>
      </c>
      <c r="F450" s="39" t="s">
        <v>53</v>
      </c>
      <c r="G450" s="24" t="s">
        <v>63</v>
      </c>
      <c r="H450" s="136">
        <v>13.034098</v>
      </c>
      <c r="I450" s="149">
        <v>5</v>
      </c>
      <c r="J450" s="136">
        <f>I450*$J$2</f>
        <v>0.3</v>
      </c>
      <c r="K450" s="136">
        <v>15</v>
      </c>
      <c r="L450" s="139"/>
      <c r="M450" s="139"/>
      <c r="N450" s="136"/>
      <c r="O450" s="11"/>
      <c r="P450" s="136"/>
      <c r="Q450" s="140"/>
      <c r="R450" s="136"/>
      <c r="S450" s="136"/>
      <c r="T450" s="136"/>
      <c r="U450" s="136">
        <f t="shared" si="113"/>
        <v>28.334098</v>
      </c>
    </row>
    <row r="451" spans="1:21" ht="15" outlineLevel="2">
      <c r="A451" s="6" t="s">
        <v>426</v>
      </c>
      <c r="B451" s="7" t="s">
        <v>73</v>
      </c>
      <c r="C451" s="7" t="s">
        <v>74</v>
      </c>
      <c r="D451" s="8" t="s">
        <v>427</v>
      </c>
      <c r="E451" s="42" t="s">
        <v>76</v>
      </c>
      <c r="F451" s="39" t="s">
        <v>53</v>
      </c>
      <c r="G451" s="24" t="s">
        <v>64</v>
      </c>
      <c r="H451" s="136">
        <v>5.169598</v>
      </c>
      <c r="I451" s="149">
        <v>4</v>
      </c>
      <c r="J451" s="136">
        <f>I451*$J$2</f>
        <v>0.24</v>
      </c>
      <c r="K451" s="136">
        <v>15</v>
      </c>
      <c r="L451" s="139"/>
      <c r="M451" s="139"/>
      <c r="N451" s="136"/>
      <c r="O451" s="11"/>
      <c r="P451" s="136"/>
      <c r="Q451" s="140"/>
      <c r="R451" s="136"/>
      <c r="S451" s="136"/>
      <c r="T451" s="136"/>
      <c r="U451" s="136">
        <f t="shared" si="113"/>
        <v>20.409598</v>
      </c>
    </row>
    <row r="452" spans="1:21" ht="15" outlineLevel="2">
      <c r="A452" s="6" t="s">
        <v>426</v>
      </c>
      <c r="B452" s="7" t="s">
        <v>73</v>
      </c>
      <c r="C452" s="7" t="s">
        <v>74</v>
      </c>
      <c r="D452" s="8" t="s">
        <v>427</v>
      </c>
      <c r="E452" s="42" t="s">
        <v>76</v>
      </c>
      <c r="F452" s="39" t="s">
        <v>53</v>
      </c>
      <c r="G452" s="24" t="s">
        <v>65</v>
      </c>
      <c r="H452" s="136">
        <v>234.917858</v>
      </c>
      <c r="I452" s="149">
        <v>833</v>
      </c>
      <c r="J452" s="136">
        <f>I452*$J$2</f>
        <v>49.98</v>
      </c>
      <c r="K452" s="136">
        <v>60</v>
      </c>
      <c r="L452" s="139"/>
      <c r="M452" s="139"/>
      <c r="N452" s="136"/>
      <c r="O452" s="11"/>
      <c r="P452" s="136"/>
      <c r="Q452" s="140"/>
      <c r="R452" s="136"/>
      <c r="S452" s="136"/>
      <c r="T452" s="136"/>
      <c r="U452" s="136">
        <f t="shared" si="113"/>
        <v>344.897858</v>
      </c>
    </row>
    <row r="453" spans="1:21" ht="15" outlineLevel="2">
      <c r="A453" s="6" t="s">
        <v>426</v>
      </c>
      <c r="B453" s="7" t="s">
        <v>73</v>
      </c>
      <c r="C453" s="7" t="s">
        <v>74</v>
      </c>
      <c r="D453" s="8" t="s">
        <v>427</v>
      </c>
      <c r="E453" s="42" t="s">
        <v>76</v>
      </c>
      <c r="F453" s="39" t="s">
        <v>53</v>
      </c>
      <c r="G453" s="24" t="s">
        <v>66</v>
      </c>
      <c r="H453" s="136">
        <v>1.6693712</v>
      </c>
      <c r="I453" s="149">
        <v>2</v>
      </c>
      <c r="J453" s="136">
        <f>I453*$J$2</f>
        <v>0.12</v>
      </c>
      <c r="K453" s="136">
        <v>0</v>
      </c>
      <c r="L453" s="139"/>
      <c r="M453" s="139"/>
      <c r="N453" s="136"/>
      <c r="O453" s="11"/>
      <c r="P453" s="136"/>
      <c r="Q453" s="140"/>
      <c r="R453" s="136"/>
      <c r="S453" s="136"/>
      <c r="T453" s="136"/>
      <c r="U453" s="136">
        <f t="shared" si="113"/>
        <v>1.7893712000000002</v>
      </c>
    </row>
    <row r="454" spans="1:21" ht="15" outlineLevel="2">
      <c r="A454" s="6" t="s">
        <v>426</v>
      </c>
      <c r="B454" s="7" t="s">
        <v>73</v>
      </c>
      <c r="C454" s="7" t="s">
        <v>74</v>
      </c>
      <c r="D454" s="8" t="s">
        <v>427</v>
      </c>
      <c r="E454" s="42" t="s">
        <v>76</v>
      </c>
      <c r="F454" s="39" t="s">
        <v>53</v>
      </c>
      <c r="G454" s="24" t="s">
        <v>90</v>
      </c>
      <c r="H454" s="136">
        <v>275.04778</v>
      </c>
      <c r="I454" s="149">
        <v>1004</v>
      </c>
      <c r="J454" s="136">
        <f>I454*$J$2</f>
        <v>60.239999999999995</v>
      </c>
      <c r="K454" s="136">
        <v>30</v>
      </c>
      <c r="L454" s="139"/>
      <c r="M454" s="139"/>
      <c r="N454" s="136"/>
      <c r="O454" s="11"/>
      <c r="P454" s="136"/>
      <c r="Q454" s="140"/>
      <c r="R454" s="136"/>
      <c r="S454" s="136"/>
      <c r="T454" s="136"/>
      <c r="U454" s="136">
        <f t="shared" si="113"/>
        <v>365.28778</v>
      </c>
    </row>
    <row r="455" spans="1:21" ht="15" outlineLevel="2">
      <c r="A455" s="6" t="str">
        <f>A454</f>
        <v>M643</v>
      </c>
      <c r="B455" s="11" t="str">
        <f>B454</f>
        <v>DOH-ICS</v>
      </c>
      <c r="C455" s="11" t="str">
        <f>C454</f>
        <v>INTEGRATED CLINICAL SERVICES</v>
      </c>
      <c r="D455" s="13" t="str">
        <f>D454</f>
        <v>406750</v>
      </c>
      <c r="E455" s="24" t="str">
        <f>E454</f>
        <v>40-60</v>
      </c>
      <c r="F455" s="39" t="s">
        <v>585</v>
      </c>
      <c r="G455" s="24" t="s">
        <v>585</v>
      </c>
      <c r="H455" s="136"/>
      <c r="I455" s="149"/>
      <c r="J455" s="136"/>
      <c r="K455" s="136"/>
      <c r="L455" s="139">
        <v>1</v>
      </c>
      <c r="M455" s="139">
        <v>0.3</v>
      </c>
      <c r="N455" s="136">
        <f>L455*M455*$N$2</f>
        <v>940.5</v>
      </c>
      <c r="O455" s="11"/>
      <c r="P455" s="136"/>
      <c r="Q455" s="140"/>
      <c r="R455" s="136"/>
      <c r="S455" s="136"/>
      <c r="T455" s="136"/>
      <c r="U455" s="136">
        <f t="shared" si="113"/>
        <v>940.5</v>
      </c>
    </row>
    <row r="456" spans="1:21" s="5" customFormat="1" ht="15.75" outlineLevel="1">
      <c r="A456" s="1" t="s">
        <v>947</v>
      </c>
      <c r="B456" s="172"/>
      <c r="C456" s="2"/>
      <c r="D456" s="19"/>
      <c r="E456" s="44"/>
      <c r="F456" s="51"/>
      <c r="G456" s="2"/>
      <c r="H456" s="137">
        <f aca="true" t="shared" si="114" ref="H456:U456">SUBTOTAL(9,H449:H455)</f>
        <v>539.4292008</v>
      </c>
      <c r="I456" s="144">
        <f t="shared" si="114"/>
        <v>1877</v>
      </c>
      <c r="J456" s="137">
        <f t="shared" si="114"/>
        <v>113.77999999999999</v>
      </c>
      <c r="K456" s="137">
        <f t="shared" si="114"/>
        <v>180</v>
      </c>
      <c r="L456" s="141">
        <f t="shared" si="114"/>
        <v>1</v>
      </c>
      <c r="M456" s="141">
        <f t="shared" si="114"/>
        <v>0.3</v>
      </c>
      <c r="N456" s="137">
        <f t="shared" si="114"/>
        <v>940.5</v>
      </c>
      <c r="O456" s="45">
        <f t="shared" si="114"/>
        <v>0</v>
      </c>
      <c r="P456" s="137">
        <f t="shared" si="114"/>
        <v>0</v>
      </c>
      <c r="Q456" s="167">
        <f t="shared" si="114"/>
        <v>0</v>
      </c>
      <c r="R456" s="137">
        <f t="shared" si="114"/>
        <v>0</v>
      </c>
      <c r="S456" s="137">
        <f t="shared" si="114"/>
        <v>0</v>
      </c>
      <c r="T456" s="137">
        <f t="shared" si="114"/>
        <v>0</v>
      </c>
      <c r="U456" s="137">
        <f t="shared" si="114"/>
        <v>1773.7092008</v>
      </c>
    </row>
    <row r="457" spans="1:21" ht="15" outlineLevel="2">
      <c r="A457" s="6" t="s">
        <v>434</v>
      </c>
      <c r="B457" s="7" t="s">
        <v>73</v>
      </c>
      <c r="C457" s="7" t="s">
        <v>74</v>
      </c>
      <c r="D457" s="8" t="s">
        <v>435</v>
      </c>
      <c r="E457" s="42" t="s">
        <v>139</v>
      </c>
      <c r="F457" s="39" t="s">
        <v>53</v>
      </c>
      <c r="G457" s="24" t="s">
        <v>62</v>
      </c>
      <c r="H457" s="136">
        <v>14.446562199999999</v>
      </c>
      <c r="I457" s="149">
        <v>42</v>
      </c>
      <c r="J457" s="136">
        <f>I457*$J$1</f>
        <v>4.2</v>
      </c>
      <c r="K457" s="136">
        <v>30</v>
      </c>
      <c r="L457" s="139"/>
      <c r="M457" s="139"/>
      <c r="N457" s="136"/>
      <c r="O457" s="11"/>
      <c r="P457" s="136"/>
      <c r="Q457" s="140"/>
      <c r="R457" s="136"/>
      <c r="S457" s="136"/>
      <c r="T457" s="136"/>
      <c r="U457" s="136">
        <f aca="true" t="shared" si="115" ref="U457:U463">H457+J457+K457+N457+P457+R457+S457+T457</f>
        <v>48.6465622</v>
      </c>
    </row>
    <row r="458" spans="1:21" ht="15" outlineLevel="2">
      <c r="A458" s="6" t="s">
        <v>434</v>
      </c>
      <c r="B458" s="7" t="s">
        <v>73</v>
      </c>
      <c r="C458" s="7" t="s">
        <v>74</v>
      </c>
      <c r="D458" s="8" t="s">
        <v>435</v>
      </c>
      <c r="E458" s="42" t="s">
        <v>139</v>
      </c>
      <c r="F458" s="39" t="s">
        <v>53</v>
      </c>
      <c r="G458" s="24" t="s">
        <v>63</v>
      </c>
      <c r="H458" s="136">
        <v>110.77620119999999</v>
      </c>
      <c r="I458" s="149">
        <v>103</v>
      </c>
      <c r="J458" s="136">
        <f>I458*$J$2</f>
        <v>6.18</v>
      </c>
      <c r="K458" s="136">
        <v>60</v>
      </c>
      <c r="L458" s="139"/>
      <c r="M458" s="139"/>
      <c r="N458" s="136"/>
      <c r="O458" s="11"/>
      <c r="P458" s="136"/>
      <c r="Q458" s="140"/>
      <c r="R458" s="136"/>
      <c r="S458" s="136"/>
      <c r="T458" s="136"/>
      <c r="U458" s="136">
        <f t="shared" si="115"/>
        <v>176.95620119999998</v>
      </c>
    </row>
    <row r="459" spans="1:21" ht="15" outlineLevel="2">
      <c r="A459" s="6" t="s">
        <v>434</v>
      </c>
      <c r="B459" s="7" t="s">
        <v>73</v>
      </c>
      <c r="C459" s="7" t="s">
        <v>74</v>
      </c>
      <c r="D459" s="8" t="s">
        <v>435</v>
      </c>
      <c r="E459" s="42" t="s">
        <v>139</v>
      </c>
      <c r="F459" s="39" t="s">
        <v>53</v>
      </c>
      <c r="G459" s="24" t="s">
        <v>64</v>
      </c>
      <c r="H459" s="136">
        <v>38.26026819999999</v>
      </c>
      <c r="I459" s="149">
        <v>20</v>
      </c>
      <c r="J459" s="136">
        <f>I459*$J$2</f>
        <v>1.2</v>
      </c>
      <c r="K459" s="136">
        <v>15</v>
      </c>
      <c r="L459" s="139"/>
      <c r="M459" s="139"/>
      <c r="N459" s="136"/>
      <c r="O459" s="11"/>
      <c r="P459" s="136"/>
      <c r="Q459" s="140"/>
      <c r="R459" s="136"/>
      <c r="S459" s="136"/>
      <c r="T459" s="136"/>
      <c r="U459" s="136">
        <f t="shared" si="115"/>
        <v>54.460268199999994</v>
      </c>
    </row>
    <row r="460" spans="1:21" ht="15" outlineLevel="2">
      <c r="A460" s="6" t="s">
        <v>434</v>
      </c>
      <c r="B460" s="7" t="s">
        <v>73</v>
      </c>
      <c r="C460" s="7" t="s">
        <v>74</v>
      </c>
      <c r="D460" s="8" t="s">
        <v>435</v>
      </c>
      <c r="E460" s="42" t="s">
        <v>139</v>
      </c>
      <c r="F460" s="39" t="s">
        <v>53</v>
      </c>
      <c r="G460" s="24" t="s">
        <v>65</v>
      </c>
      <c r="H460" s="136">
        <v>36.470308</v>
      </c>
      <c r="I460" s="149">
        <v>55</v>
      </c>
      <c r="J460" s="136">
        <f>I460*$J$2</f>
        <v>3.3</v>
      </c>
      <c r="K460" s="136">
        <v>75</v>
      </c>
      <c r="L460" s="139"/>
      <c r="M460" s="139"/>
      <c r="N460" s="136"/>
      <c r="O460" s="11"/>
      <c r="P460" s="136"/>
      <c r="Q460" s="140"/>
      <c r="R460" s="136"/>
      <c r="S460" s="136"/>
      <c r="T460" s="136"/>
      <c r="U460" s="136">
        <f t="shared" si="115"/>
        <v>114.770308</v>
      </c>
    </row>
    <row r="461" spans="1:21" ht="15" outlineLevel="2">
      <c r="A461" s="6" t="s">
        <v>434</v>
      </c>
      <c r="B461" s="7" t="s">
        <v>73</v>
      </c>
      <c r="C461" s="7" t="s">
        <v>74</v>
      </c>
      <c r="D461" s="8" t="s">
        <v>435</v>
      </c>
      <c r="E461" s="42" t="s">
        <v>139</v>
      </c>
      <c r="F461" s="39" t="s">
        <v>53</v>
      </c>
      <c r="G461" s="24" t="s">
        <v>66</v>
      </c>
      <c r="H461" s="136">
        <v>6.281114</v>
      </c>
      <c r="I461" s="149">
        <v>20</v>
      </c>
      <c r="J461" s="136">
        <f>I461*$J$2</f>
        <v>1.2</v>
      </c>
      <c r="K461" s="136">
        <v>0</v>
      </c>
      <c r="L461" s="139"/>
      <c r="M461" s="139"/>
      <c r="N461" s="136"/>
      <c r="O461" s="11"/>
      <c r="P461" s="136"/>
      <c r="Q461" s="140"/>
      <c r="R461" s="136"/>
      <c r="S461" s="136"/>
      <c r="T461" s="136"/>
      <c r="U461" s="136">
        <f t="shared" si="115"/>
        <v>7.481114</v>
      </c>
    </row>
    <row r="462" spans="1:21" ht="15" outlineLevel="2">
      <c r="A462" s="6" t="str">
        <f>A461</f>
        <v>M668</v>
      </c>
      <c r="B462" s="11" t="str">
        <f>B461</f>
        <v>DOH-ICS</v>
      </c>
      <c r="C462" s="11" t="str">
        <f>C461</f>
        <v>INTEGRATED CLINICAL SERVICES</v>
      </c>
      <c r="D462" s="13" t="str">
        <f>D461</f>
        <v>408502</v>
      </c>
      <c r="E462" s="24" t="str">
        <f>E461</f>
        <v>40-80</v>
      </c>
      <c r="F462" s="39" t="s">
        <v>585</v>
      </c>
      <c r="G462" s="24" t="s">
        <v>585</v>
      </c>
      <c r="H462" s="136"/>
      <c r="I462" s="149"/>
      <c r="J462" s="136"/>
      <c r="K462" s="136"/>
      <c r="L462" s="139">
        <v>1</v>
      </c>
      <c r="M462" s="139">
        <v>0.08</v>
      </c>
      <c r="N462" s="136">
        <f>L462*M462*$N$2</f>
        <v>250.8</v>
      </c>
      <c r="O462" s="11"/>
      <c r="P462" s="136"/>
      <c r="Q462" s="140"/>
      <c r="R462" s="136"/>
      <c r="S462" s="136"/>
      <c r="T462" s="136"/>
      <c r="U462" s="136">
        <f t="shared" si="115"/>
        <v>250.8</v>
      </c>
    </row>
    <row r="463" spans="1:21" ht="15" outlineLevel="2">
      <c r="A463" s="36" t="s">
        <v>668</v>
      </c>
      <c r="B463" s="11" t="str">
        <f>B462</f>
        <v>DOH-ICS</v>
      </c>
      <c r="C463" s="11" t="str">
        <f>C462</f>
        <v>INTEGRATED CLINICAL SERVICES</v>
      </c>
      <c r="D463" s="13" t="str">
        <f>D462</f>
        <v>408502</v>
      </c>
      <c r="E463" s="27" t="str">
        <f>E462</f>
        <v>40-80</v>
      </c>
      <c r="F463" s="20" t="s">
        <v>683</v>
      </c>
      <c r="G463" s="11" t="s">
        <v>683</v>
      </c>
      <c r="H463" s="136"/>
      <c r="I463" s="140"/>
      <c r="J463" s="136"/>
      <c r="K463" s="136"/>
      <c r="L463" s="139"/>
      <c r="M463" s="139"/>
      <c r="N463" s="136"/>
      <c r="O463" s="34"/>
      <c r="P463" s="136"/>
      <c r="Q463" s="140"/>
      <c r="R463" s="136"/>
      <c r="S463" s="136"/>
      <c r="T463" s="150">
        <f>10.24+11.72+28.47</f>
        <v>50.43</v>
      </c>
      <c r="U463" s="136">
        <f t="shared" si="115"/>
        <v>50.43</v>
      </c>
    </row>
    <row r="464" spans="1:21" s="5" customFormat="1" ht="15.75" outlineLevel="1">
      <c r="A464" s="1" t="s">
        <v>948</v>
      </c>
      <c r="B464" s="172"/>
      <c r="C464" s="2"/>
      <c r="D464" s="19"/>
      <c r="E464" s="44"/>
      <c r="F464" s="51"/>
      <c r="G464" s="2"/>
      <c r="H464" s="137">
        <f aca="true" t="shared" si="116" ref="H464:U464">SUBTOTAL(9,H457:H463)</f>
        <v>206.2344536</v>
      </c>
      <c r="I464" s="144">
        <f t="shared" si="116"/>
        <v>240</v>
      </c>
      <c r="J464" s="137">
        <f t="shared" si="116"/>
        <v>16.08</v>
      </c>
      <c r="K464" s="137">
        <f t="shared" si="116"/>
        <v>180</v>
      </c>
      <c r="L464" s="141">
        <f t="shared" si="116"/>
        <v>1</v>
      </c>
      <c r="M464" s="141">
        <f t="shared" si="116"/>
        <v>0.08</v>
      </c>
      <c r="N464" s="137">
        <f t="shared" si="116"/>
        <v>250.8</v>
      </c>
      <c r="O464" s="45">
        <f t="shared" si="116"/>
        <v>0</v>
      </c>
      <c r="P464" s="137">
        <f t="shared" si="116"/>
        <v>0</v>
      </c>
      <c r="Q464" s="167">
        <f t="shared" si="116"/>
        <v>0</v>
      </c>
      <c r="R464" s="137">
        <f t="shared" si="116"/>
        <v>0</v>
      </c>
      <c r="S464" s="137">
        <f t="shared" si="116"/>
        <v>0</v>
      </c>
      <c r="T464" s="137">
        <f t="shared" si="116"/>
        <v>50.43</v>
      </c>
      <c r="U464" s="137">
        <f t="shared" si="116"/>
        <v>703.5444535999999</v>
      </c>
    </row>
    <row r="465" spans="1:21" ht="15" outlineLevel="2">
      <c r="A465" s="6" t="s">
        <v>436</v>
      </c>
      <c r="B465" s="7" t="s">
        <v>73</v>
      </c>
      <c r="C465" s="7" t="s">
        <v>74</v>
      </c>
      <c r="D465" s="8" t="s">
        <v>437</v>
      </c>
      <c r="E465" s="42" t="s">
        <v>125</v>
      </c>
      <c r="F465" s="39" t="s">
        <v>53</v>
      </c>
      <c r="G465" s="24" t="s">
        <v>62</v>
      </c>
      <c r="H465" s="136">
        <v>1599.801833</v>
      </c>
      <c r="I465" s="149">
        <v>4824</v>
      </c>
      <c r="J465" s="136">
        <f>I465*$J$1</f>
        <v>482.40000000000003</v>
      </c>
      <c r="K465" s="136">
        <v>0</v>
      </c>
      <c r="L465" s="139"/>
      <c r="M465" s="139"/>
      <c r="N465" s="136"/>
      <c r="O465" s="11"/>
      <c r="P465" s="136"/>
      <c r="Q465" s="140"/>
      <c r="R465" s="136"/>
      <c r="S465" s="136"/>
      <c r="T465" s="136"/>
      <c r="U465" s="136">
        <f aca="true" t="shared" si="117" ref="U465:U472">H465+J465+K465+N465+P465+R465+S465+T465</f>
        <v>2082.201833</v>
      </c>
    </row>
    <row r="466" spans="1:21" ht="15" outlineLevel="2">
      <c r="A466" s="6" t="s">
        <v>436</v>
      </c>
      <c r="B466" s="7" t="s">
        <v>73</v>
      </c>
      <c r="C466" s="7" t="s">
        <v>74</v>
      </c>
      <c r="D466" s="8" t="s">
        <v>437</v>
      </c>
      <c r="E466" s="42" t="s">
        <v>125</v>
      </c>
      <c r="F466" s="39" t="s">
        <v>53</v>
      </c>
      <c r="G466" s="24" t="s">
        <v>63</v>
      </c>
      <c r="H466" s="136">
        <v>743.6167872000004</v>
      </c>
      <c r="I466" s="149">
        <v>231</v>
      </c>
      <c r="J466" s="136">
        <f>I466*$J$2</f>
        <v>13.86</v>
      </c>
      <c r="K466" s="136">
        <v>0</v>
      </c>
      <c r="L466" s="139"/>
      <c r="M466" s="139"/>
      <c r="N466" s="136"/>
      <c r="O466" s="11"/>
      <c r="P466" s="136"/>
      <c r="Q466" s="140"/>
      <c r="R466" s="136"/>
      <c r="S466" s="136"/>
      <c r="T466" s="136"/>
      <c r="U466" s="136">
        <f t="shared" si="117"/>
        <v>757.4767872000004</v>
      </c>
    </row>
    <row r="467" spans="1:21" ht="15" outlineLevel="2">
      <c r="A467" s="6" t="s">
        <v>436</v>
      </c>
      <c r="B467" s="7" t="s">
        <v>73</v>
      </c>
      <c r="C467" s="7" t="s">
        <v>74</v>
      </c>
      <c r="D467" s="8" t="s">
        <v>437</v>
      </c>
      <c r="E467" s="42" t="s">
        <v>125</v>
      </c>
      <c r="F467" s="39" t="s">
        <v>53</v>
      </c>
      <c r="G467" s="24" t="s">
        <v>64</v>
      </c>
      <c r="H467" s="136">
        <v>868.9769172000005</v>
      </c>
      <c r="I467" s="149">
        <v>517</v>
      </c>
      <c r="J467" s="136">
        <f>I467*$J$2</f>
        <v>31.02</v>
      </c>
      <c r="K467" s="136">
        <v>0</v>
      </c>
      <c r="L467" s="139"/>
      <c r="M467" s="139"/>
      <c r="N467" s="136"/>
      <c r="O467" s="11"/>
      <c r="P467" s="136"/>
      <c r="Q467" s="140"/>
      <c r="R467" s="136"/>
      <c r="S467" s="136"/>
      <c r="T467" s="136"/>
      <c r="U467" s="136">
        <f t="shared" si="117"/>
        <v>899.9969172000004</v>
      </c>
    </row>
    <row r="468" spans="1:21" ht="15" outlineLevel="2">
      <c r="A468" s="6" t="s">
        <v>436</v>
      </c>
      <c r="B468" s="7" t="s">
        <v>73</v>
      </c>
      <c r="C468" s="7" t="s">
        <v>74</v>
      </c>
      <c r="D468" s="8" t="s">
        <v>437</v>
      </c>
      <c r="E468" s="42" t="s">
        <v>125</v>
      </c>
      <c r="F468" s="39" t="s">
        <v>53</v>
      </c>
      <c r="G468" s="24" t="s">
        <v>65</v>
      </c>
      <c r="H468" s="136">
        <v>933.7132868000004</v>
      </c>
      <c r="I468" s="149">
        <v>1897</v>
      </c>
      <c r="J468" s="136">
        <f>I468*$J$2</f>
        <v>113.82</v>
      </c>
      <c r="K468" s="136">
        <v>150</v>
      </c>
      <c r="L468" s="139"/>
      <c r="M468" s="139"/>
      <c r="N468" s="136"/>
      <c r="O468" s="11"/>
      <c r="P468" s="136"/>
      <c r="Q468" s="140"/>
      <c r="R468" s="136"/>
      <c r="S468" s="136"/>
      <c r="T468" s="136"/>
      <c r="U468" s="136">
        <f t="shared" si="117"/>
        <v>1197.5332868000005</v>
      </c>
    </row>
    <row r="469" spans="1:21" ht="15" outlineLevel="2">
      <c r="A469" s="6" t="s">
        <v>436</v>
      </c>
      <c r="B469" s="7" t="s">
        <v>73</v>
      </c>
      <c r="C469" s="7" t="s">
        <v>74</v>
      </c>
      <c r="D469" s="8" t="s">
        <v>437</v>
      </c>
      <c r="E469" s="42" t="s">
        <v>125</v>
      </c>
      <c r="F469" s="39" t="s">
        <v>53</v>
      </c>
      <c r="G469" s="24" t="s">
        <v>66</v>
      </c>
      <c r="H469" s="136">
        <v>183.3173006</v>
      </c>
      <c r="I469" s="149">
        <v>141</v>
      </c>
      <c r="J469" s="136">
        <f>I469*$J$2</f>
        <v>8.459999999999999</v>
      </c>
      <c r="K469" s="136">
        <v>30</v>
      </c>
      <c r="L469" s="139"/>
      <c r="M469" s="139"/>
      <c r="N469" s="136"/>
      <c r="O469" s="11"/>
      <c r="P469" s="136"/>
      <c r="Q469" s="140"/>
      <c r="R469" s="136"/>
      <c r="S469" s="136"/>
      <c r="T469" s="136"/>
      <c r="U469" s="136">
        <f t="shared" si="117"/>
        <v>221.77730060000002</v>
      </c>
    </row>
    <row r="470" spans="1:21" ht="15" outlineLevel="2">
      <c r="A470" s="6" t="s">
        <v>436</v>
      </c>
      <c r="B470" s="7" t="s">
        <v>73</v>
      </c>
      <c r="C470" s="7" t="s">
        <v>74</v>
      </c>
      <c r="D470" s="8" t="s">
        <v>437</v>
      </c>
      <c r="E470" s="42" t="s">
        <v>125</v>
      </c>
      <c r="F470" s="39" t="s">
        <v>53</v>
      </c>
      <c r="G470" s="24" t="s">
        <v>90</v>
      </c>
      <c r="H470" s="136">
        <v>4.676756</v>
      </c>
      <c r="I470" s="149">
        <v>9</v>
      </c>
      <c r="J470" s="136">
        <f>I470*$J$2</f>
        <v>0.54</v>
      </c>
      <c r="K470" s="136">
        <v>0</v>
      </c>
      <c r="L470" s="139"/>
      <c r="M470" s="139"/>
      <c r="N470" s="136"/>
      <c r="O470" s="11"/>
      <c r="P470" s="136"/>
      <c r="Q470" s="140"/>
      <c r="R470" s="136"/>
      <c r="S470" s="136"/>
      <c r="T470" s="136"/>
      <c r="U470" s="136">
        <f t="shared" si="117"/>
        <v>5.216756</v>
      </c>
    </row>
    <row r="471" spans="1:21" ht="15" outlineLevel="2">
      <c r="A471" s="6" t="str">
        <f>A470</f>
        <v>M671</v>
      </c>
      <c r="B471" s="11" t="str">
        <f>B470</f>
        <v>DOH-ICS</v>
      </c>
      <c r="C471" s="11" t="str">
        <f>C470</f>
        <v>INTEGRATED CLINICAL SERVICES</v>
      </c>
      <c r="D471" s="13" t="str">
        <f>D470</f>
        <v>407550</v>
      </c>
      <c r="E471" s="24" t="str">
        <f>E470</f>
        <v>40-70</v>
      </c>
      <c r="F471" s="39" t="s">
        <v>585</v>
      </c>
      <c r="G471" s="24" t="s">
        <v>585</v>
      </c>
      <c r="H471" s="136"/>
      <c r="I471" s="149"/>
      <c r="J471" s="136"/>
      <c r="K471" s="136"/>
      <c r="L471" s="139">
        <v>4</v>
      </c>
      <c r="M471" s="139">
        <v>0.6</v>
      </c>
      <c r="N471" s="136">
        <f>L471*M471*$N$2</f>
        <v>7524</v>
      </c>
      <c r="O471" s="11"/>
      <c r="P471" s="136"/>
      <c r="Q471" s="140"/>
      <c r="R471" s="136"/>
      <c r="S471" s="136"/>
      <c r="T471" s="136"/>
      <c r="U471" s="136">
        <f t="shared" si="117"/>
        <v>7524</v>
      </c>
    </row>
    <row r="472" spans="1:21" ht="15" outlineLevel="2">
      <c r="A472" s="28" t="s">
        <v>436</v>
      </c>
      <c r="B472" s="11" t="str">
        <f>B471</f>
        <v>DOH-ICS</v>
      </c>
      <c r="C472" s="11" t="str">
        <f>C471</f>
        <v>INTEGRATED CLINICAL SERVICES</v>
      </c>
      <c r="D472" s="13" t="str">
        <f>D471</f>
        <v>407550</v>
      </c>
      <c r="E472" s="38" t="str">
        <f>E471</f>
        <v>40-70</v>
      </c>
      <c r="F472" s="20" t="s">
        <v>615</v>
      </c>
      <c r="G472" s="11" t="s">
        <v>615</v>
      </c>
      <c r="H472" s="136"/>
      <c r="I472" s="140"/>
      <c r="J472" s="136"/>
      <c r="K472" s="136"/>
      <c r="L472" s="139"/>
      <c r="M472" s="139"/>
      <c r="N472" s="136"/>
      <c r="O472" s="29">
        <f>2+10.5</f>
        <v>12.5</v>
      </c>
      <c r="P472" s="136">
        <f>O472*$P$2</f>
        <v>900</v>
      </c>
      <c r="Q472" s="140"/>
      <c r="R472" s="136"/>
      <c r="S472" s="136"/>
      <c r="T472" s="136"/>
      <c r="U472" s="136">
        <f t="shared" si="117"/>
        <v>900</v>
      </c>
    </row>
    <row r="473" spans="1:21" s="5" customFormat="1" ht="15.75" outlineLevel="1">
      <c r="A473" s="1" t="s">
        <v>949</v>
      </c>
      <c r="B473" s="172"/>
      <c r="C473" s="2"/>
      <c r="D473" s="19"/>
      <c r="E473" s="44"/>
      <c r="F473" s="51"/>
      <c r="G473" s="2"/>
      <c r="H473" s="137">
        <f aca="true" t="shared" si="118" ref="H473:U473">SUBTOTAL(9,H465:H472)</f>
        <v>4334.102880800001</v>
      </c>
      <c r="I473" s="144">
        <f t="shared" si="118"/>
        <v>7619</v>
      </c>
      <c r="J473" s="137">
        <f t="shared" si="118"/>
        <v>650.1000000000001</v>
      </c>
      <c r="K473" s="137">
        <f t="shared" si="118"/>
        <v>180</v>
      </c>
      <c r="L473" s="141">
        <f t="shared" si="118"/>
        <v>4</v>
      </c>
      <c r="M473" s="141">
        <f t="shared" si="118"/>
        <v>0.6</v>
      </c>
      <c r="N473" s="137">
        <f t="shared" si="118"/>
        <v>7524</v>
      </c>
      <c r="O473" s="45">
        <f t="shared" si="118"/>
        <v>12.5</v>
      </c>
      <c r="P473" s="137">
        <f t="shared" si="118"/>
        <v>900</v>
      </c>
      <c r="Q473" s="167">
        <f t="shared" si="118"/>
        <v>0</v>
      </c>
      <c r="R473" s="137">
        <f t="shared" si="118"/>
        <v>0</v>
      </c>
      <c r="S473" s="137">
        <f t="shared" si="118"/>
        <v>0</v>
      </c>
      <c r="T473" s="137">
        <f t="shared" si="118"/>
        <v>0</v>
      </c>
      <c r="U473" s="137">
        <f t="shared" si="118"/>
        <v>13588.2028808</v>
      </c>
    </row>
    <row r="474" spans="1:21" ht="15" outlineLevel="2">
      <c r="A474" s="6" t="s">
        <v>438</v>
      </c>
      <c r="B474" s="7" t="s">
        <v>73</v>
      </c>
      <c r="C474" s="7" t="s">
        <v>74</v>
      </c>
      <c r="D474" s="8" t="s">
        <v>439</v>
      </c>
      <c r="E474" s="42" t="s">
        <v>416</v>
      </c>
      <c r="F474" s="39" t="s">
        <v>53</v>
      </c>
      <c r="G474" s="24" t="s">
        <v>62</v>
      </c>
      <c r="H474" s="136">
        <v>6124.833801799997</v>
      </c>
      <c r="I474" s="149">
        <v>18610</v>
      </c>
      <c r="J474" s="136">
        <f>I474*$J$1</f>
        <v>1861</v>
      </c>
      <c r="K474" s="136">
        <v>30</v>
      </c>
      <c r="L474" s="139"/>
      <c r="M474" s="139"/>
      <c r="N474" s="136"/>
      <c r="O474" s="11"/>
      <c r="P474" s="136"/>
      <c r="Q474" s="140"/>
      <c r="R474" s="136"/>
      <c r="S474" s="136"/>
      <c r="T474" s="136"/>
      <c r="U474" s="136">
        <f aca="true" t="shared" si="119" ref="U474:U481">H474+J474+K474+N474+P474+R474+S474+T474</f>
        <v>8015.833801799997</v>
      </c>
    </row>
    <row r="475" spans="1:21" ht="15" outlineLevel="2">
      <c r="A475" s="6" t="s">
        <v>438</v>
      </c>
      <c r="B475" s="7" t="s">
        <v>73</v>
      </c>
      <c r="C475" s="7" t="s">
        <v>74</v>
      </c>
      <c r="D475" s="8" t="s">
        <v>439</v>
      </c>
      <c r="E475" s="42" t="s">
        <v>416</v>
      </c>
      <c r="F475" s="39" t="s">
        <v>53</v>
      </c>
      <c r="G475" s="24" t="s">
        <v>63</v>
      </c>
      <c r="H475" s="136">
        <v>24.012939999999997</v>
      </c>
      <c r="I475" s="149">
        <v>7</v>
      </c>
      <c r="J475" s="136">
        <f>I475*$J$2</f>
        <v>0.42</v>
      </c>
      <c r="K475" s="136">
        <v>0</v>
      </c>
      <c r="L475" s="139"/>
      <c r="M475" s="139"/>
      <c r="N475" s="136"/>
      <c r="O475" s="11"/>
      <c r="P475" s="136"/>
      <c r="Q475" s="140"/>
      <c r="R475" s="136"/>
      <c r="S475" s="136"/>
      <c r="T475" s="136"/>
      <c r="U475" s="136">
        <f t="shared" si="119"/>
        <v>24.43294</v>
      </c>
    </row>
    <row r="476" spans="1:21" ht="15" outlineLevel="2">
      <c r="A476" s="6" t="s">
        <v>438</v>
      </c>
      <c r="B476" s="7" t="s">
        <v>73</v>
      </c>
      <c r="C476" s="7" t="s">
        <v>74</v>
      </c>
      <c r="D476" s="8" t="s">
        <v>439</v>
      </c>
      <c r="E476" s="42" t="s">
        <v>416</v>
      </c>
      <c r="F476" s="39" t="s">
        <v>53</v>
      </c>
      <c r="G476" s="24" t="s">
        <v>64</v>
      </c>
      <c r="H476" s="136">
        <v>3.40795</v>
      </c>
      <c r="I476" s="149">
        <v>3</v>
      </c>
      <c r="J476" s="136">
        <f>I476*$J$2</f>
        <v>0.18</v>
      </c>
      <c r="K476" s="136">
        <v>0</v>
      </c>
      <c r="L476" s="139"/>
      <c r="M476" s="139"/>
      <c r="N476" s="136"/>
      <c r="O476" s="11"/>
      <c r="P476" s="136"/>
      <c r="Q476" s="140"/>
      <c r="R476" s="136"/>
      <c r="S476" s="136"/>
      <c r="T476" s="136"/>
      <c r="U476" s="136">
        <f t="shared" si="119"/>
        <v>3.58795</v>
      </c>
    </row>
    <row r="477" spans="1:21" ht="15" outlineLevel="2">
      <c r="A477" s="6" t="s">
        <v>438</v>
      </c>
      <c r="B477" s="7" t="s">
        <v>73</v>
      </c>
      <c r="C477" s="7" t="s">
        <v>74</v>
      </c>
      <c r="D477" s="8" t="s">
        <v>439</v>
      </c>
      <c r="E477" s="42" t="s">
        <v>416</v>
      </c>
      <c r="F477" s="39" t="s">
        <v>53</v>
      </c>
      <c r="G477" s="24" t="s">
        <v>65</v>
      </c>
      <c r="H477" s="136">
        <v>3111.536995</v>
      </c>
      <c r="I477" s="149">
        <v>11326</v>
      </c>
      <c r="J477" s="136">
        <f>I477*$J$2</f>
        <v>679.56</v>
      </c>
      <c r="K477" s="136">
        <v>60</v>
      </c>
      <c r="L477" s="139"/>
      <c r="M477" s="139"/>
      <c r="N477" s="136"/>
      <c r="O477" s="11"/>
      <c r="P477" s="136"/>
      <c r="Q477" s="140"/>
      <c r="R477" s="136"/>
      <c r="S477" s="136"/>
      <c r="T477" s="136"/>
      <c r="U477" s="136">
        <f t="shared" si="119"/>
        <v>3851.096995</v>
      </c>
    </row>
    <row r="478" spans="1:21" ht="15" outlineLevel="2">
      <c r="A478" s="6" t="s">
        <v>438</v>
      </c>
      <c r="B478" s="7" t="s">
        <v>73</v>
      </c>
      <c r="C478" s="7" t="s">
        <v>74</v>
      </c>
      <c r="D478" s="8" t="s">
        <v>439</v>
      </c>
      <c r="E478" s="42" t="s">
        <v>416</v>
      </c>
      <c r="F478" s="39" t="s">
        <v>53</v>
      </c>
      <c r="G478" s="24" t="s">
        <v>66</v>
      </c>
      <c r="H478" s="136">
        <v>7.4335254</v>
      </c>
      <c r="I478" s="149">
        <v>5</v>
      </c>
      <c r="J478" s="136">
        <f>I478*$J$2</f>
        <v>0.3</v>
      </c>
      <c r="K478" s="136">
        <v>30</v>
      </c>
      <c r="L478" s="139"/>
      <c r="M478" s="139"/>
      <c r="N478" s="136"/>
      <c r="O478" s="11"/>
      <c r="P478" s="136"/>
      <c r="Q478" s="140"/>
      <c r="R478" s="136"/>
      <c r="S478" s="136"/>
      <c r="T478" s="136"/>
      <c r="U478" s="136">
        <f t="shared" si="119"/>
        <v>37.7335254</v>
      </c>
    </row>
    <row r="479" spans="1:21" ht="15" outlineLevel="2">
      <c r="A479" s="6" t="s">
        <v>438</v>
      </c>
      <c r="B479" s="7" t="s">
        <v>73</v>
      </c>
      <c r="C479" s="7" t="s">
        <v>74</v>
      </c>
      <c r="D479" s="8" t="s">
        <v>439</v>
      </c>
      <c r="E479" s="42" t="s">
        <v>416</v>
      </c>
      <c r="F479" s="39" t="s">
        <v>53</v>
      </c>
      <c r="G479" s="24" t="s">
        <v>90</v>
      </c>
      <c r="H479" s="136">
        <v>1625.445346</v>
      </c>
      <c r="I479" s="149">
        <v>5907</v>
      </c>
      <c r="J479" s="136">
        <f>I479*$J$2</f>
        <v>354.41999999999996</v>
      </c>
      <c r="K479" s="136">
        <v>60</v>
      </c>
      <c r="L479" s="139"/>
      <c r="M479" s="139"/>
      <c r="N479" s="136"/>
      <c r="O479" s="11"/>
      <c r="P479" s="136"/>
      <c r="Q479" s="140"/>
      <c r="R479" s="136"/>
      <c r="S479" s="136"/>
      <c r="T479" s="136"/>
      <c r="U479" s="136">
        <f t="shared" si="119"/>
        <v>2039.865346</v>
      </c>
    </row>
    <row r="480" spans="1:21" ht="15" outlineLevel="2">
      <c r="A480" s="6" t="str">
        <f>A479</f>
        <v>M674</v>
      </c>
      <c r="B480" s="11" t="str">
        <f>B479</f>
        <v>DOH-ICS</v>
      </c>
      <c r="C480" s="11" t="str">
        <f>C479</f>
        <v>INTEGRATED CLINICAL SERVICES</v>
      </c>
      <c r="D480" s="13" t="str">
        <f>D479</f>
        <v>404420</v>
      </c>
      <c r="E480" s="24" t="str">
        <f>E479</f>
        <v>40-44</v>
      </c>
      <c r="F480" s="39" t="s">
        <v>585</v>
      </c>
      <c r="G480" s="24" t="s">
        <v>585</v>
      </c>
      <c r="H480" s="136"/>
      <c r="I480" s="149"/>
      <c r="J480" s="136"/>
      <c r="K480" s="136"/>
      <c r="L480" s="139">
        <v>4</v>
      </c>
      <c r="M480" s="139">
        <v>0.2</v>
      </c>
      <c r="N480" s="136">
        <f>L480*M480*$N$2</f>
        <v>2508</v>
      </c>
      <c r="O480" s="11"/>
      <c r="P480" s="136"/>
      <c r="Q480" s="140"/>
      <c r="R480" s="136"/>
      <c r="S480" s="136"/>
      <c r="T480" s="136"/>
      <c r="U480" s="136">
        <f t="shared" si="119"/>
        <v>2508</v>
      </c>
    </row>
    <row r="481" spans="1:21" ht="15" outlineLevel="2">
      <c r="A481" s="6" t="str">
        <f>A479</f>
        <v>M674</v>
      </c>
      <c r="B481" s="11" t="str">
        <f>B479</f>
        <v>DOH-ICS</v>
      </c>
      <c r="C481" s="11" t="str">
        <f>C479</f>
        <v>INTEGRATED CLINICAL SERVICES</v>
      </c>
      <c r="D481" s="13" t="str">
        <f>D479</f>
        <v>404420</v>
      </c>
      <c r="E481" s="24" t="str">
        <f>E479</f>
        <v>40-44</v>
      </c>
      <c r="F481" s="39" t="s">
        <v>615</v>
      </c>
      <c r="G481" s="24" t="s">
        <v>615</v>
      </c>
      <c r="H481" s="136"/>
      <c r="I481" s="149"/>
      <c r="J481" s="136"/>
      <c r="K481" s="136"/>
      <c r="L481" s="139"/>
      <c r="M481" s="139"/>
      <c r="N481" s="136"/>
      <c r="O481" s="34">
        <v>0.25</v>
      </c>
      <c r="P481" s="136">
        <f>O481*$P$2</f>
        <v>18</v>
      </c>
      <c r="Q481" s="140"/>
      <c r="R481" s="136"/>
      <c r="S481" s="136"/>
      <c r="T481" s="136"/>
      <c r="U481" s="136">
        <f t="shared" si="119"/>
        <v>18</v>
      </c>
    </row>
    <row r="482" spans="1:21" s="5" customFormat="1" ht="15.75" outlineLevel="1">
      <c r="A482" s="1" t="s">
        <v>950</v>
      </c>
      <c r="B482" s="172"/>
      <c r="C482" s="2"/>
      <c r="D482" s="19"/>
      <c r="E482" s="44"/>
      <c r="F482" s="51"/>
      <c r="G482" s="2"/>
      <c r="H482" s="137">
        <f aca="true" t="shared" si="120" ref="H482:U482">SUBTOTAL(9,H474:H481)</f>
        <v>10896.670558199996</v>
      </c>
      <c r="I482" s="144">
        <f t="shared" si="120"/>
        <v>35858</v>
      </c>
      <c r="J482" s="137">
        <f t="shared" si="120"/>
        <v>2895.88</v>
      </c>
      <c r="K482" s="137">
        <f t="shared" si="120"/>
        <v>180</v>
      </c>
      <c r="L482" s="141">
        <f t="shared" si="120"/>
        <v>4</v>
      </c>
      <c r="M482" s="141">
        <f t="shared" si="120"/>
        <v>0.2</v>
      </c>
      <c r="N482" s="137">
        <f t="shared" si="120"/>
        <v>2508</v>
      </c>
      <c r="O482" s="45">
        <f t="shared" si="120"/>
        <v>0.25</v>
      </c>
      <c r="P482" s="137">
        <f t="shared" si="120"/>
        <v>18</v>
      </c>
      <c r="Q482" s="167">
        <f t="shared" si="120"/>
        <v>0</v>
      </c>
      <c r="R482" s="137">
        <f t="shared" si="120"/>
        <v>0</v>
      </c>
      <c r="S482" s="137">
        <f t="shared" si="120"/>
        <v>0</v>
      </c>
      <c r="T482" s="137">
        <f t="shared" si="120"/>
        <v>0</v>
      </c>
      <c r="U482" s="137">
        <f t="shared" si="120"/>
        <v>16498.550558199997</v>
      </c>
    </row>
    <row r="483" spans="1:21" ht="15" outlineLevel="2">
      <c r="A483" s="6" t="s">
        <v>443</v>
      </c>
      <c r="B483" s="7" t="s">
        <v>73</v>
      </c>
      <c r="C483" s="7" t="s">
        <v>74</v>
      </c>
      <c r="D483" s="8" t="s">
        <v>319</v>
      </c>
      <c r="E483" s="42" t="s">
        <v>139</v>
      </c>
      <c r="F483" s="39" t="s">
        <v>53</v>
      </c>
      <c r="G483" s="24" t="s">
        <v>62</v>
      </c>
      <c r="H483" s="136">
        <v>4636.251727799998</v>
      </c>
      <c r="I483" s="149">
        <v>14163</v>
      </c>
      <c r="J483" s="136">
        <f>I483*$J$1</f>
        <v>1416.3000000000002</v>
      </c>
      <c r="K483" s="136">
        <v>75</v>
      </c>
      <c r="L483" s="139"/>
      <c r="M483" s="139"/>
      <c r="N483" s="136"/>
      <c r="O483" s="11"/>
      <c r="P483" s="136"/>
      <c r="Q483" s="140"/>
      <c r="R483" s="136"/>
      <c r="S483" s="136"/>
      <c r="T483" s="136"/>
      <c r="U483" s="136">
        <f aca="true" t="shared" si="121" ref="U483:U490">H483+J483+K483+N483+P483+R483+S483+T483</f>
        <v>6127.551727799998</v>
      </c>
    </row>
    <row r="484" spans="1:21" ht="15" outlineLevel="2">
      <c r="A484" s="6" t="s">
        <v>443</v>
      </c>
      <c r="B484" s="7" t="s">
        <v>73</v>
      </c>
      <c r="C484" s="7" t="s">
        <v>74</v>
      </c>
      <c r="D484" s="8" t="s">
        <v>319</v>
      </c>
      <c r="E484" s="42" t="s">
        <v>139</v>
      </c>
      <c r="F484" s="39" t="s">
        <v>53</v>
      </c>
      <c r="G484" s="24" t="s">
        <v>63</v>
      </c>
      <c r="H484" s="136">
        <v>45.855278</v>
      </c>
      <c r="I484" s="149">
        <v>46</v>
      </c>
      <c r="J484" s="136">
        <f>I484*$J$2</f>
        <v>2.76</v>
      </c>
      <c r="K484" s="136">
        <v>15</v>
      </c>
      <c r="L484" s="139"/>
      <c r="M484" s="139"/>
      <c r="N484" s="136"/>
      <c r="O484" s="11"/>
      <c r="P484" s="136"/>
      <c r="Q484" s="140"/>
      <c r="R484" s="136"/>
      <c r="S484" s="136"/>
      <c r="T484" s="136"/>
      <c r="U484" s="136">
        <f t="shared" si="121"/>
        <v>63.615277999999996</v>
      </c>
    </row>
    <row r="485" spans="1:21" ht="15" outlineLevel="2">
      <c r="A485" s="6" t="s">
        <v>443</v>
      </c>
      <c r="B485" s="7" t="s">
        <v>73</v>
      </c>
      <c r="C485" s="7" t="s">
        <v>74</v>
      </c>
      <c r="D485" s="8" t="s">
        <v>319</v>
      </c>
      <c r="E485" s="42" t="s">
        <v>139</v>
      </c>
      <c r="F485" s="39" t="s">
        <v>53</v>
      </c>
      <c r="G485" s="24" t="s">
        <v>64</v>
      </c>
      <c r="H485" s="136">
        <v>6.050421999999999</v>
      </c>
      <c r="I485" s="149">
        <v>2</v>
      </c>
      <c r="J485" s="136">
        <f>I485*$J$2</f>
        <v>0.12</v>
      </c>
      <c r="K485" s="136">
        <v>0</v>
      </c>
      <c r="L485" s="139"/>
      <c r="M485" s="139"/>
      <c r="N485" s="136"/>
      <c r="O485" s="11"/>
      <c r="P485" s="136"/>
      <c r="Q485" s="140"/>
      <c r="R485" s="136"/>
      <c r="S485" s="136"/>
      <c r="T485" s="136"/>
      <c r="U485" s="136">
        <f t="shared" si="121"/>
        <v>6.170421999999999</v>
      </c>
    </row>
    <row r="486" spans="1:21" ht="15" outlineLevel="2">
      <c r="A486" s="6" t="s">
        <v>443</v>
      </c>
      <c r="B486" s="7" t="s">
        <v>73</v>
      </c>
      <c r="C486" s="7" t="s">
        <v>74</v>
      </c>
      <c r="D486" s="8" t="s">
        <v>319</v>
      </c>
      <c r="E486" s="42" t="s">
        <v>139</v>
      </c>
      <c r="F486" s="39" t="s">
        <v>53</v>
      </c>
      <c r="G486" s="24" t="s">
        <v>65</v>
      </c>
      <c r="H486" s="136">
        <v>83.479046</v>
      </c>
      <c r="I486" s="149">
        <v>207</v>
      </c>
      <c r="J486" s="136">
        <f>I486*$J$2</f>
        <v>12.42</v>
      </c>
      <c r="K486" s="136">
        <v>75</v>
      </c>
      <c r="L486" s="139"/>
      <c r="M486" s="139"/>
      <c r="N486" s="136"/>
      <c r="O486" s="11"/>
      <c r="P486" s="136"/>
      <c r="Q486" s="140"/>
      <c r="R486" s="136"/>
      <c r="S486" s="136"/>
      <c r="T486" s="136"/>
      <c r="U486" s="136">
        <f t="shared" si="121"/>
        <v>170.899046</v>
      </c>
    </row>
    <row r="487" spans="1:21" ht="15" outlineLevel="2">
      <c r="A487" s="6" t="s">
        <v>443</v>
      </c>
      <c r="B487" s="7" t="s">
        <v>73</v>
      </c>
      <c r="C487" s="7" t="s">
        <v>74</v>
      </c>
      <c r="D487" s="8" t="s">
        <v>319</v>
      </c>
      <c r="E487" s="42" t="s">
        <v>139</v>
      </c>
      <c r="F487" s="39" t="s">
        <v>53</v>
      </c>
      <c r="G487" s="24" t="s">
        <v>66</v>
      </c>
      <c r="H487" s="136">
        <v>31.2136762</v>
      </c>
      <c r="I487" s="149">
        <v>71</v>
      </c>
      <c r="J487" s="136">
        <f>I487*$J$2</f>
        <v>4.26</v>
      </c>
      <c r="K487" s="136">
        <v>0</v>
      </c>
      <c r="L487" s="139"/>
      <c r="M487" s="139"/>
      <c r="N487" s="136"/>
      <c r="O487" s="11"/>
      <c r="P487" s="136"/>
      <c r="Q487" s="140"/>
      <c r="R487" s="136"/>
      <c r="S487" s="136"/>
      <c r="T487" s="136"/>
      <c r="U487" s="136">
        <f t="shared" si="121"/>
        <v>35.4736762</v>
      </c>
    </row>
    <row r="488" spans="1:21" ht="15" outlineLevel="2">
      <c r="A488" s="6" t="s">
        <v>443</v>
      </c>
      <c r="B488" s="7" t="s">
        <v>73</v>
      </c>
      <c r="C488" s="7" t="s">
        <v>74</v>
      </c>
      <c r="D488" s="8" t="s">
        <v>319</v>
      </c>
      <c r="E488" s="42" t="s">
        <v>139</v>
      </c>
      <c r="F488" s="39" t="s">
        <v>53</v>
      </c>
      <c r="G488" s="24" t="s">
        <v>90</v>
      </c>
      <c r="H488" s="136">
        <v>16.190383999999998</v>
      </c>
      <c r="I488" s="149">
        <v>60</v>
      </c>
      <c r="J488" s="136">
        <f>I488*$J$2</f>
        <v>3.5999999999999996</v>
      </c>
      <c r="K488" s="136">
        <v>15</v>
      </c>
      <c r="L488" s="139"/>
      <c r="M488" s="139"/>
      <c r="N488" s="136"/>
      <c r="O488" s="11"/>
      <c r="P488" s="136"/>
      <c r="Q488" s="140"/>
      <c r="R488" s="136"/>
      <c r="S488" s="136"/>
      <c r="T488" s="136"/>
      <c r="U488" s="136">
        <f t="shared" si="121"/>
        <v>34.790383999999996</v>
      </c>
    </row>
    <row r="489" spans="1:21" ht="15" outlineLevel="2">
      <c r="A489" s="6" t="str">
        <f>A488</f>
        <v>M703</v>
      </c>
      <c r="B489" s="11" t="str">
        <f>B488</f>
        <v>DOH-ICS</v>
      </c>
      <c r="C489" s="11" t="str">
        <f>C488</f>
        <v>INTEGRATED CLINICAL SERVICES</v>
      </c>
      <c r="D489" s="13" t="str">
        <f>D488</f>
        <v>407100</v>
      </c>
      <c r="E489" s="24" t="str">
        <f>E488</f>
        <v>40-80</v>
      </c>
      <c r="F489" s="39" t="s">
        <v>585</v>
      </c>
      <c r="G489" s="24" t="s">
        <v>585</v>
      </c>
      <c r="H489" s="136"/>
      <c r="I489" s="149"/>
      <c r="J489" s="136"/>
      <c r="K489" s="136"/>
      <c r="L489" s="139">
        <v>1</v>
      </c>
      <c r="M489" s="139">
        <v>0.5</v>
      </c>
      <c r="N489" s="136">
        <f>L489*M489*$N$2</f>
        <v>1567.5</v>
      </c>
      <c r="O489" s="11"/>
      <c r="P489" s="136"/>
      <c r="Q489" s="140"/>
      <c r="R489" s="136"/>
      <c r="S489" s="136"/>
      <c r="T489" s="136"/>
      <c r="U489" s="136">
        <f t="shared" si="121"/>
        <v>1567.5</v>
      </c>
    </row>
    <row r="490" spans="1:21" ht="15" outlineLevel="2">
      <c r="A490" s="6" t="str">
        <f>A488</f>
        <v>M703</v>
      </c>
      <c r="B490" s="11" t="str">
        <f>B488</f>
        <v>DOH-ICS</v>
      </c>
      <c r="C490" s="11" t="str">
        <f>C488</f>
        <v>INTEGRATED CLINICAL SERVICES</v>
      </c>
      <c r="D490" s="13" t="str">
        <f>D488</f>
        <v>407100</v>
      </c>
      <c r="E490" s="24" t="str">
        <f>E488</f>
        <v>40-80</v>
      </c>
      <c r="F490" s="39" t="s">
        <v>615</v>
      </c>
      <c r="G490" s="24" t="s">
        <v>615</v>
      </c>
      <c r="H490" s="136"/>
      <c r="I490" s="149"/>
      <c r="J490" s="136"/>
      <c r="K490" s="136"/>
      <c r="L490" s="139"/>
      <c r="M490" s="139"/>
      <c r="N490" s="136"/>
      <c r="O490" s="34">
        <v>0.25</v>
      </c>
      <c r="P490" s="136">
        <f>O490*$P$2</f>
        <v>18</v>
      </c>
      <c r="Q490" s="140"/>
      <c r="R490" s="136"/>
      <c r="S490" s="136"/>
      <c r="T490" s="136"/>
      <c r="U490" s="136">
        <f t="shared" si="121"/>
        <v>18</v>
      </c>
    </row>
    <row r="491" spans="1:21" s="5" customFormat="1" ht="15.75" outlineLevel="1">
      <c r="A491" s="1" t="s">
        <v>951</v>
      </c>
      <c r="B491" s="172"/>
      <c r="C491" s="2"/>
      <c r="D491" s="19"/>
      <c r="E491" s="44"/>
      <c r="F491" s="51"/>
      <c r="G491" s="2"/>
      <c r="H491" s="137">
        <f aca="true" t="shared" si="122" ref="H491:U491">SUBTOTAL(9,H483:H490)</f>
        <v>4819.040533999999</v>
      </c>
      <c r="I491" s="144">
        <f t="shared" si="122"/>
        <v>14549</v>
      </c>
      <c r="J491" s="137">
        <f t="shared" si="122"/>
        <v>1439.46</v>
      </c>
      <c r="K491" s="137">
        <f t="shared" si="122"/>
        <v>180</v>
      </c>
      <c r="L491" s="141">
        <f t="shared" si="122"/>
        <v>1</v>
      </c>
      <c r="M491" s="141">
        <f t="shared" si="122"/>
        <v>0.5</v>
      </c>
      <c r="N491" s="137">
        <f t="shared" si="122"/>
        <v>1567.5</v>
      </c>
      <c r="O491" s="45">
        <f t="shared" si="122"/>
        <v>0.25</v>
      </c>
      <c r="P491" s="137">
        <f t="shared" si="122"/>
        <v>18</v>
      </c>
      <c r="Q491" s="167">
        <f t="shared" si="122"/>
        <v>0</v>
      </c>
      <c r="R491" s="137">
        <f t="shared" si="122"/>
        <v>0</v>
      </c>
      <c r="S491" s="137">
        <f t="shared" si="122"/>
        <v>0</v>
      </c>
      <c r="T491" s="137">
        <f t="shared" si="122"/>
        <v>0</v>
      </c>
      <c r="U491" s="137">
        <f t="shared" si="122"/>
        <v>8024.000533999998</v>
      </c>
    </row>
    <row r="492" spans="1:21" ht="15" outlineLevel="2">
      <c r="A492" s="6" t="s">
        <v>444</v>
      </c>
      <c r="B492" s="7" t="s">
        <v>73</v>
      </c>
      <c r="C492" s="7" t="s">
        <v>74</v>
      </c>
      <c r="D492" s="8" t="s">
        <v>445</v>
      </c>
      <c r="E492" s="42" t="s">
        <v>125</v>
      </c>
      <c r="F492" s="39" t="s">
        <v>53</v>
      </c>
      <c r="G492" s="24" t="s">
        <v>62</v>
      </c>
      <c r="H492" s="136">
        <v>303.06742060000005</v>
      </c>
      <c r="I492" s="149">
        <v>919</v>
      </c>
      <c r="J492" s="136">
        <f>I492*$J$1</f>
        <v>91.9</v>
      </c>
      <c r="K492" s="136">
        <v>15</v>
      </c>
      <c r="L492" s="139"/>
      <c r="M492" s="139"/>
      <c r="N492" s="136"/>
      <c r="O492" s="11"/>
      <c r="P492" s="136"/>
      <c r="Q492" s="140"/>
      <c r="R492" s="136"/>
      <c r="S492" s="136"/>
      <c r="T492" s="136"/>
      <c r="U492" s="136">
        <f aca="true" t="shared" si="123" ref="U492:U499">H492+J492+K492+N492+P492+R492+S492+T492</f>
        <v>409.9674206000001</v>
      </c>
    </row>
    <row r="493" spans="1:21" ht="15" outlineLevel="2">
      <c r="A493" s="6" t="s">
        <v>444</v>
      </c>
      <c r="B493" s="7" t="s">
        <v>73</v>
      </c>
      <c r="C493" s="7" t="s">
        <v>74</v>
      </c>
      <c r="D493" s="8" t="s">
        <v>445</v>
      </c>
      <c r="E493" s="42" t="s">
        <v>125</v>
      </c>
      <c r="F493" s="39" t="s">
        <v>53</v>
      </c>
      <c r="G493" s="24" t="s">
        <v>63</v>
      </c>
      <c r="H493" s="136">
        <v>245.30109519999996</v>
      </c>
      <c r="I493" s="149">
        <v>66</v>
      </c>
      <c r="J493" s="136">
        <f>I493*$J$2</f>
        <v>3.96</v>
      </c>
      <c r="K493" s="136">
        <v>0</v>
      </c>
      <c r="L493" s="139"/>
      <c r="M493" s="139"/>
      <c r="N493" s="136"/>
      <c r="O493" s="11"/>
      <c r="P493" s="136"/>
      <c r="Q493" s="140"/>
      <c r="R493" s="136"/>
      <c r="S493" s="136"/>
      <c r="T493" s="136"/>
      <c r="U493" s="136">
        <f t="shared" si="123"/>
        <v>249.26109519999997</v>
      </c>
    </row>
    <row r="494" spans="1:21" ht="15" outlineLevel="2">
      <c r="A494" s="6" t="s">
        <v>444</v>
      </c>
      <c r="B494" s="7" t="s">
        <v>73</v>
      </c>
      <c r="C494" s="7" t="s">
        <v>74</v>
      </c>
      <c r="D494" s="8" t="s">
        <v>445</v>
      </c>
      <c r="E494" s="42" t="s">
        <v>125</v>
      </c>
      <c r="F494" s="39" t="s">
        <v>53</v>
      </c>
      <c r="G494" s="24" t="s">
        <v>64</v>
      </c>
      <c r="H494" s="136">
        <v>279.693078</v>
      </c>
      <c r="I494" s="149">
        <v>149</v>
      </c>
      <c r="J494" s="136">
        <f>I494*$J$2</f>
        <v>8.94</v>
      </c>
      <c r="K494" s="136">
        <v>60</v>
      </c>
      <c r="L494" s="139"/>
      <c r="M494" s="139"/>
      <c r="N494" s="136"/>
      <c r="O494" s="11"/>
      <c r="P494" s="136"/>
      <c r="Q494" s="140"/>
      <c r="R494" s="136"/>
      <c r="S494" s="136"/>
      <c r="T494" s="136"/>
      <c r="U494" s="136">
        <f t="shared" si="123"/>
        <v>348.633078</v>
      </c>
    </row>
    <row r="495" spans="1:21" ht="15" outlineLevel="2">
      <c r="A495" s="6" t="s">
        <v>444</v>
      </c>
      <c r="B495" s="7" t="s">
        <v>73</v>
      </c>
      <c r="C495" s="7" t="s">
        <v>74</v>
      </c>
      <c r="D495" s="8" t="s">
        <v>445</v>
      </c>
      <c r="E495" s="42" t="s">
        <v>125</v>
      </c>
      <c r="F495" s="39" t="s">
        <v>53</v>
      </c>
      <c r="G495" s="24" t="s">
        <v>65</v>
      </c>
      <c r="H495" s="136">
        <v>81.392332</v>
      </c>
      <c r="I495" s="149">
        <v>159</v>
      </c>
      <c r="J495" s="136">
        <f>I495*$J$2</f>
        <v>9.54</v>
      </c>
      <c r="K495" s="136">
        <v>60</v>
      </c>
      <c r="L495" s="139"/>
      <c r="M495" s="139"/>
      <c r="N495" s="136"/>
      <c r="O495" s="11"/>
      <c r="P495" s="136"/>
      <c r="Q495" s="140"/>
      <c r="R495" s="136"/>
      <c r="S495" s="136"/>
      <c r="T495" s="136"/>
      <c r="U495" s="136">
        <f t="shared" si="123"/>
        <v>150.932332</v>
      </c>
    </row>
    <row r="496" spans="1:21" ht="15" outlineLevel="2">
      <c r="A496" s="6" t="s">
        <v>444</v>
      </c>
      <c r="B496" s="7" t="s">
        <v>73</v>
      </c>
      <c r="C496" s="7" t="s">
        <v>74</v>
      </c>
      <c r="D496" s="8" t="s">
        <v>445</v>
      </c>
      <c r="E496" s="42" t="s">
        <v>125</v>
      </c>
      <c r="F496" s="39" t="s">
        <v>53</v>
      </c>
      <c r="G496" s="24" t="s">
        <v>66</v>
      </c>
      <c r="H496" s="136">
        <v>64.5056776</v>
      </c>
      <c r="I496" s="149">
        <v>51</v>
      </c>
      <c r="J496" s="136">
        <f>I496*$J$2</f>
        <v>3.06</v>
      </c>
      <c r="K496" s="136">
        <v>45</v>
      </c>
      <c r="L496" s="139"/>
      <c r="M496" s="139"/>
      <c r="N496" s="136"/>
      <c r="O496" s="11"/>
      <c r="P496" s="136"/>
      <c r="Q496" s="140"/>
      <c r="R496" s="136"/>
      <c r="S496" s="136"/>
      <c r="T496" s="136"/>
      <c r="U496" s="136">
        <f t="shared" si="123"/>
        <v>112.5656776</v>
      </c>
    </row>
    <row r="497" spans="1:21" ht="15" outlineLevel="2">
      <c r="A497" s="6" t="str">
        <f>A496</f>
        <v>M714</v>
      </c>
      <c r="B497" s="11" t="str">
        <f>B496</f>
        <v>DOH-ICS</v>
      </c>
      <c r="C497" s="11" t="str">
        <f>C496</f>
        <v>INTEGRATED CLINICAL SERVICES</v>
      </c>
      <c r="D497" s="13" t="str">
        <f>D496</f>
        <v>407800</v>
      </c>
      <c r="E497" s="24" t="str">
        <f>E496</f>
        <v>40-70</v>
      </c>
      <c r="F497" s="39" t="s">
        <v>585</v>
      </c>
      <c r="G497" s="24" t="s">
        <v>585</v>
      </c>
      <c r="H497" s="136"/>
      <c r="I497" s="149"/>
      <c r="J497" s="136"/>
      <c r="K497" s="136"/>
      <c r="L497" s="139">
        <v>4</v>
      </c>
      <c r="M497" s="139">
        <v>1</v>
      </c>
      <c r="N497" s="136">
        <f>L497*M497*$N$2</f>
        <v>12540</v>
      </c>
      <c r="O497" s="11"/>
      <c r="P497" s="136"/>
      <c r="Q497" s="140"/>
      <c r="R497" s="136"/>
      <c r="S497" s="136"/>
      <c r="T497" s="136"/>
      <c r="U497" s="136">
        <f t="shared" si="123"/>
        <v>12540</v>
      </c>
    </row>
    <row r="498" spans="1:21" ht="15" outlineLevel="2">
      <c r="A498" s="28" t="s">
        <v>444</v>
      </c>
      <c r="B498" s="11" t="str">
        <f aca="true" t="shared" si="124" ref="B498:E499">B497</f>
        <v>DOH-ICS</v>
      </c>
      <c r="C498" s="11" t="str">
        <f t="shared" si="124"/>
        <v>INTEGRATED CLINICAL SERVICES</v>
      </c>
      <c r="D498" s="13" t="str">
        <f t="shared" si="124"/>
        <v>407800</v>
      </c>
      <c r="E498" s="38" t="str">
        <f t="shared" si="124"/>
        <v>40-70</v>
      </c>
      <c r="F498" s="20" t="s">
        <v>615</v>
      </c>
      <c r="G498" s="11" t="s">
        <v>615</v>
      </c>
      <c r="H498" s="136"/>
      <c r="I498" s="140"/>
      <c r="J498" s="136"/>
      <c r="K498" s="136"/>
      <c r="L498" s="139"/>
      <c r="M498" s="139"/>
      <c r="N498" s="136"/>
      <c r="O498" s="29">
        <f>3.5+4.75</f>
        <v>8.25</v>
      </c>
      <c r="P498" s="136">
        <f>O498*$P$2</f>
        <v>594</v>
      </c>
      <c r="Q498" s="140"/>
      <c r="R498" s="136"/>
      <c r="S498" s="136"/>
      <c r="T498" s="136"/>
      <c r="U498" s="136">
        <f t="shared" si="123"/>
        <v>594</v>
      </c>
    </row>
    <row r="499" spans="1:21" ht="15" outlineLevel="2">
      <c r="A499" s="36" t="s">
        <v>444</v>
      </c>
      <c r="B499" s="11" t="str">
        <f t="shared" si="124"/>
        <v>DOH-ICS</v>
      </c>
      <c r="C499" s="11" t="str">
        <f t="shared" si="124"/>
        <v>INTEGRATED CLINICAL SERVICES</v>
      </c>
      <c r="D499" s="13" t="str">
        <f t="shared" si="124"/>
        <v>407800</v>
      </c>
      <c r="E499" s="27" t="str">
        <f t="shared" si="124"/>
        <v>40-70</v>
      </c>
      <c r="F499" s="20" t="s">
        <v>683</v>
      </c>
      <c r="G499" s="11" t="s">
        <v>683</v>
      </c>
      <c r="H499" s="136"/>
      <c r="I499" s="140"/>
      <c r="J499" s="136"/>
      <c r="K499" s="136"/>
      <c r="L499" s="139"/>
      <c r="M499" s="139"/>
      <c r="N499" s="136"/>
      <c r="O499" s="34"/>
      <c r="P499" s="136"/>
      <c r="Q499" s="140"/>
      <c r="R499" s="136"/>
      <c r="S499" s="136"/>
      <c r="T499" s="150">
        <v>7.11</v>
      </c>
      <c r="U499" s="136">
        <f t="shared" si="123"/>
        <v>7.11</v>
      </c>
    </row>
    <row r="500" spans="1:21" s="5" customFormat="1" ht="15.75" outlineLevel="1">
      <c r="A500" s="1" t="s">
        <v>952</v>
      </c>
      <c r="B500" s="172"/>
      <c r="C500" s="2"/>
      <c r="D500" s="19"/>
      <c r="E500" s="44"/>
      <c r="F500" s="51"/>
      <c r="G500" s="2"/>
      <c r="H500" s="137">
        <f aca="true" t="shared" si="125" ref="H500:U500">SUBTOTAL(9,H492:H499)</f>
        <v>973.9596034000001</v>
      </c>
      <c r="I500" s="144">
        <f t="shared" si="125"/>
        <v>1344</v>
      </c>
      <c r="J500" s="137">
        <f t="shared" si="125"/>
        <v>117.4</v>
      </c>
      <c r="K500" s="137">
        <f t="shared" si="125"/>
        <v>180</v>
      </c>
      <c r="L500" s="141">
        <f t="shared" si="125"/>
        <v>4</v>
      </c>
      <c r="M500" s="141">
        <f t="shared" si="125"/>
        <v>1</v>
      </c>
      <c r="N500" s="137">
        <f t="shared" si="125"/>
        <v>12540</v>
      </c>
      <c r="O500" s="45">
        <f t="shared" si="125"/>
        <v>8.25</v>
      </c>
      <c r="P500" s="137">
        <f t="shared" si="125"/>
        <v>594</v>
      </c>
      <c r="Q500" s="167">
        <f t="shared" si="125"/>
        <v>0</v>
      </c>
      <c r="R500" s="137">
        <f t="shared" si="125"/>
        <v>0</v>
      </c>
      <c r="S500" s="137">
        <f t="shared" si="125"/>
        <v>0</v>
      </c>
      <c r="T500" s="137">
        <f t="shared" si="125"/>
        <v>7.11</v>
      </c>
      <c r="U500" s="137">
        <f t="shared" si="125"/>
        <v>14412.4696034</v>
      </c>
    </row>
    <row r="501" spans="1:21" ht="15" outlineLevel="2">
      <c r="A501" s="6" t="s">
        <v>446</v>
      </c>
      <c r="B501" s="7" t="s">
        <v>73</v>
      </c>
      <c r="C501" s="7" t="s">
        <v>74</v>
      </c>
      <c r="D501" s="8" t="s">
        <v>447</v>
      </c>
      <c r="E501" s="42" t="s">
        <v>125</v>
      </c>
      <c r="F501" s="39" t="s">
        <v>53</v>
      </c>
      <c r="G501" s="24" t="s">
        <v>62</v>
      </c>
      <c r="H501" s="136">
        <v>230.581897</v>
      </c>
      <c r="I501" s="149">
        <v>702</v>
      </c>
      <c r="J501" s="136">
        <f>I501*$J$1</f>
        <v>70.2</v>
      </c>
      <c r="K501" s="136">
        <v>0</v>
      </c>
      <c r="L501" s="139"/>
      <c r="M501" s="139"/>
      <c r="N501" s="136"/>
      <c r="O501" s="11"/>
      <c r="P501" s="136"/>
      <c r="Q501" s="140"/>
      <c r="R501" s="136"/>
      <c r="S501" s="136"/>
      <c r="T501" s="136"/>
      <c r="U501" s="136">
        <f aca="true" t="shared" si="126" ref="U501:U508">H501+J501+K501+N501+P501+R501+S501+T501</f>
        <v>300.781897</v>
      </c>
    </row>
    <row r="502" spans="1:21" ht="15" outlineLevel="2">
      <c r="A502" s="6" t="s">
        <v>446</v>
      </c>
      <c r="B502" s="7" t="s">
        <v>73</v>
      </c>
      <c r="C502" s="7" t="s">
        <v>74</v>
      </c>
      <c r="D502" s="8" t="s">
        <v>447</v>
      </c>
      <c r="E502" s="42" t="s">
        <v>125</v>
      </c>
      <c r="F502" s="39" t="s">
        <v>53</v>
      </c>
      <c r="G502" s="24" t="s">
        <v>63</v>
      </c>
      <c r="H502" s="136">
        <v>601.2777259999999</v>
      </c>
      <c r="I502" s="149">
        <v>137</v>
      </c>
      <c r="J502" s="136">
        <f>I502*$J$2</f>
        <v>8.219999999999999</v>
      </c>
      <c r="K502" s="136">
        <v>0</v>
      </c>
      <c r="L502" s="139"/>
      <c r="M502" s="139"/>
      <c r="N502" s="136"/>
      <c r="O502" s="11"/>
      <c r="P502" s="136"/>
      <c r="Q502" s="140"/>
      <c r="R502" s="136"/>
      <c r="S502" s="136"/>
      <c r="T502" s="136"/>
      <c r="U502" s="136">
        <f t="shared" si="126"/>
        <v>609.497726</v>
      </c>
    </row>
    <row r="503" spans="1:21" ht="15" outlineLevel="2">
      <c r="A503" s="6" t="s">
        <v>446</v>
      </c>
      <c r="B503" s="7" t="s">
        <v>73</v>
      </c>
      <c r="C503" s="7" t="s">
        <v>74</v>
      </c>
      <c r="D503" s="8" t="s">
        <v>447</v>
      </c>
      <c r="E503" s="42" t="s">
        <v>125</v>
      </c>
      <c r="F503" s="39" t="s">
        <v>53</v>
      </c>
      <c r="G503" s="24" t="s">
        <v>64</v>
      </c>
      <c r="H503" s="136">
        <v>473.13985459999986</v>
      </c>
      <c r="I503" s="149">
        <v>291</v>
      </c>
      <c r="J503" s="136">
        <f>I503*$J$2</f>
        <v>17.46</v>
      </c>
      <c r="K503" s="136">
        <v>15</v>
      </c>
      <c r="L503" s="139"/>
      <c r="M503" s="139"/>
      <c r="N503" s="136"/>
      <c r="O503" s="11"/>
      <c r="P503" s="136"/>
      <c r="Q503" s="140"/>
      <c r="R503" s="136"/>
      <c r="S503" s="136"/>
      <c r="T503" s="136"/>
      <c r="U503" s="136">
        <f t="shared" si="126"/>
        <v>505.59985459999984</v>
      </c>
    </row>
    <row r="504" spans="1:21" ht="15" outlineLevel="2">
      <c r="A504" s="6" t="s">
        <v>446</v>
      </c>
      <c r="B504" s="7" t="s">
        <v>73</v>
      </c>
      <c r="C504" s="7" t="s">
        <v>74</v>
      </c>
      <c r="D504" s="8" t="s">
        <v>447</v>
      </c>
      <c r="E504" s="42" t="s">
        <v>125</v>
      </c>
      <c r="F504" s="39" t="s">
        <v>53</v>
      </c>
      <c r="G504" s="24" t="s">
        <v>65</v>
      </c>
      <c r="H504" s="136">
        <v>374.04610599999995</v>
      </c>
      <c r="I504" s="149">
        <v>733</v>
      </c>
      <c r="J504" s="136">
        <f>I504*$J$2</f>
        <v>43.98</v>
      </c>
      <c r="K504" s="136">
        <v>90</v>
      </c>
      <c r="L504" s="139"/>
      <c r="M504" s="139"/>
      <c r="N504" s="136"/>
      <c r="O504" s="11"/>
      <c r="P504" s="136"/>
      <c r="Q504" s="140"/>
      <c r="R504" s="136"/>
      <c r="S504" s="136"/>
      <c r="T504" s="136"/>
      <c r="U504" s="136">
        <f t="shared" si="126"/>
        <v>508.02610599999997</v>
      </c>
    </row>
    <row r="505" spans="1:21" ht="15" outlineLevel="2">
      <c r="A505" s="6" t="s">
        <v>446</v>
      </c>
      <c r="B505" s="7" t="s">
        <v>73</v>
      </c>
      <c r="C505" s="7" t="s">
        <v>74</v>
      </c>
      <c r="D505" s="8" t="s">
        <v>447</v>
      </c>
      <c r="E505" s="42" t="s">
        <v>125</v>
      </c>
      <c r="F505" s="39" t="s">
        <v>53</v>
      </c>
      <c r="G505" s="24" t="s">
        <v>66</v>
      </c>
      <c r="H505" s="136">
        <v>114.35612160000001</v>
      </c>
      <c r="I505" s="149">
        <v>95</v>
      </c>
      <c r="J505" s="136">
        <f>I505*$J$2</f>
        <v>5.7</v>
      </c>
      <c r="K505" s="136">
        <v>75</v>
      </c>
      <c r="L505" s="139"/>
      <c r="M505" s="139"/>
      <c r="N505" s="136"/>
      <c r="O505" s="11"/>
      <c r="P505" s="136"/>
      <c r="Q505" s="140"/>
      <c r="R505" s="136"/>
      <c r="S505" s="136"/>
      <c r="T505" s="136"/>
      <c r="U505" s="136">
        <f t="shared" si="126"/>
        <v>195.0561216</v>
      </c>
    </row>
    <row r="506" spans="1:21" ht="15" outlineLevel="2">
      <c r="A506" s="6" t="str">
        <f>A505</f>
        <v>M717</v>
      </c>
      <c r="B506" s="11" t="str">
        <f>B505</f>
        <v>DOH-ICS</v>
      </c>
      <c r="C506" s="11" t="str">
        <f>C505</f>
        <v>INTEGRATED CLINICAL SERVICES</v>
      </c>
      <c r="D506" s="13" t="str">
        <f>D505</f>
        <v>403800</v>
      </c>
      <c r="E506" s="24" t="str">
        <f>E505</f>
        <v>40-70</v>
      </c>
      <c r="F506" s="39" t="s">
        <v>585</v>
      </c>
      <c r="G506" s="24" t="s">
        <v>585</v>
      </c>
      <c r="H506" s="136"/>
      <c r="I506" s="149"/>
      <c r="J506" s="136"/>
      <c r="K506" s="136"/>
      <c r="L506" s="139">
        <v>1</v>
      </c>
      <c r="M506" s="139">
        <v>1</v>
      </c>
      <c r="N506" s="136">
        <f>L506*M506*$N$2</f>
        <v>3135</v>
      </c>
      <c r="O506" s="11"/>
      <c r="P506" s="136"/>
      <c r="Q506" s="140"/>
      <c r="R506" s="136"/>
      <c r="S506" s="136"/>
      <c r="T506" s="136"/>
      <c r="U506" s="136">
        <f t="shared" si="126"/>
        <v>3135</v>
      </c>
    </row>
    <row r="507" spans="1:21" ht="15" outlineLevel="2">
      <c r="A507" s="28" t="s">
        <v>446</v>
      </c>
      <c r="B507" s="11" t="str">
        <f aca="true" t="shared" si="127" ref="B507:E508">B506</f>
        <v>DOH-ICS</v>
      </c>
      <c r="C507" s="11" t="str">
        <f t="shared" si="127"/>
        <v>INTEGRATED CLINICAL SERVICES</v>
      </c>
      <c r="D507" s="13" t="str">
        <f t="shared" si="127"/>
        <v>403800</v>
      </c>
      <c r="E507" s="38" t="str">
        <f t="shared" si="127"/>
        <v>40-70</v>
      </c>
      <c r="F507" s="20" t="s">
        <v>615</v>
      </c>
      <c r="G507" s="11" t="s">
        <v>615</v>
      </c>
      <c r="H507" s="136"/>
      <c r="I507" s="140"/>
      <c r="J507" s="136"/>
      <c r="K507" s="136"/>
      <c r="L507" s="139"/>
      <c r="M507" s="139"/>
      <c r="N507" s="136"/>
      <c r="O507" s="29">
        <f>4.75+1</f>
        <v>5.75</v>
      </c>
      <c r="P507" s="136">
        <f>O507*$P$2</f>
        <v>414</v>
      </c>
      <c r="Q507" s="140"/>
      <c r="R507" s="136"/>
      <c r="S507" s="136"/>
      <c r="T507" s="136"/>
      <c r="U507" s="136">
        <f t="shared" si="126"/>
        <v>414</v>
      </c>
    </row>
    <row r="508" spans="1:21" ht="15" outlineLevel="2">
      <c r="A508" s="36" t="s">
        <v>446</v>
      </c>
      <c r="B508" s="11" t="str">
        <f t="shared" si="127"/>
        <v>DOH-ICS</v>
      </c>
      <c r="C508" s="11" t="str">
        <f t="shared" si="127"/>
        <v>INTEGRATED CLINICAL SERVICES</v>
      </c>
      <c r="D508" s="13" t="str">
        <f t="shared" si="127"/>
        <v>403800</v>
      </c>
      <c r="E508" s="27" t="str">
        <f t="shared" si="127"/>
        <v>40-70</v>
      </c>
      <c r="F508" s="20" t="s">
        <v>683</v>
      </c>
      <c r="G508" s="11" t="s">
        <v>683</v>
      </c>
      <c r="H508" s="136"/>
      <c r="I508" s="140"/>
      <c r="J508" s="136"/>
      <c r="K508" s="136"/>
      <c r="L508" s="139"/>
      <c r="M508" s="139"/>
      <c r="N508" s="136"/>
      <c r="O508" s="34"/>
      <c r="P508" s="136"/>
      <c r="Q508" s="140"/>
      <c r="R508" s="136"/>
      <c r="S508" s="136"/>
      <c r="T508" s="150">
        <v>5.66</v>
      </c>
      <c r="U508" s="136">
        <f t="shared" si="126"/>
        <v>5.66</v>
      </c>
    </row>
    <row r="509" spans="1:21" s="5" customFormat="1" ht="15.75" outlineLevel="1">
      <c r="A509" s="1" t="s">
        <v>953</v>
      </c>
      <c r="B509" s="172"/>
      <c r="C509" s="2"/>
      <c r="D509" s="19"/>
      <c r="E509" s="44"/>
      <c r="F509" s="51"/>
      <c r="G509" s="2"/>
      <c r="H509" s="137">
        <f aca="true" t="shared" si="128" ref="H509:U509">SUBTOTAL(9,H501:H508)</f>
        <v>1793.4017052</v>
      </c>
      <c r="I509" s="144">
        <f t="shared" si="128"/>
        <v>1958</v>
      </c>
      <c r="J509" s="137">
        <f t="shared" si="128"/>
        <v>145.55999999999997</v>
      </c>
      <c r="K509" s="137">
        <f t="shared" si="128"/>
        <v>180</v>
      </c>
      <c r="L509" s="141">
        <f t="shared" si="128"/>
        <v>1</v>
      </c>
      <c r="M509" s="141">
        <f t="shared" si="128"/>
        <v>1</v>
      </c>
      <c r="N509" s="137">
        <f t="shared" si="128"/>
        <v>3135</v>
      </c>
      <c r="O509" s="45">
        <f t="shared" si="128"/>
        <v>5.75</v>
      </c>
      <c r="P509" s="137">
        <f t="shared" si="128"/>
        <v>414</v>
      </c>
      <c r="Q509" s="167">
        <f t="shared" si="128"/>
        <v>0</v>
      </c>
      <c r="R509" s="137">
        <f t="shared" si="128"/>
        <v>0</v>
      </c>
      <c r="S509" s="137">
        <f t="shared" si="128"/>
        <v>0</v>
      </c>
      <c r="T509" s="137">
        <f t="shared" si="128"/>
        <v>5.66</v>
      </c>
      <c r="U509" s="137">
        <f t="shared" si="128"/>
        <v>5673.621705199999</v>
      </c>
    </row>
    <row r="510" spans="1:21" ht="15" outlineLevel="2">
      <c r="A510" s="6" t="s">
        <v>516</v>
      </c>
      <c r="B510" s="7" t="s">
        <v>73</v>
      </c>
      <c r="C510" s="7" t="s">
        <v>74</v>
      </c>
      <c r="D510" s="8" t="s">
        <v>517</v>
      </c>
      <c r="E510" s="42" t="s">
        <v>76</v>
      </c>
      <c r="F510" s="39" t="s">
        <v>53</v>
      </c>
      <c r="G510" s="24" t="s">
        <v>62</v>
      </c>
      <c r="H510" s="136">
        <v>16.122225</v>
      </c>
      <c r="I510" s="149">
        <v>48</v>
      </c>
      <c r="J510" s="136">
        <f>I510*$J$1</f>
        <v>4.800000000000001</v>
      </c>
      <c r="K510" s="136">
        <v>60</v>
      </c>
      <c r="L510" s="139"/>
      <c r="M510" s="139"/>
      <c r="N510" s="136"/>
      <c r="O510" s="11"/>
      <c r="P510" s="136"/>
      <c r="Q510" s="140"/>
      <c r="R510" s="136"/>
      <c r="S510" s="136"/>
      <c r="T510" s="136"/>
      <c r="U510" s="136">
        <f aca="true" t="shared" si="129" ref="U510:U517">H510+J510+K510+N510+P510+R510+S510+T510</f>
        <v>80.922225</v>
      </c>
    </row>
    <row r="511" spans="1:21" ht="15" outlineLevel="2">
      <c r="A511" s="6" t="s">
        <v>516</v>
      </c>
      <c r="B511" s="7" t="s">
        <v>73</v>
      </c>
      <c r="C511" s="7" t="s">
        <v>74</v>
      </c>
      <c r="D511" s="8" t="s">
        <v>517</v>
      </c>
      <c r="E511" s="42" t="s">
        <v>76</v>
      </c>
      <c r="F511" s="39" t="s">
        <v>53</v>
      </c>
      <c r="G511" s="24" t="s">
        <v>63</v>
      </c>
      <c r="H511" s="136">
        <v>27.714498</v>
      </c>
      <c r="I511" s="149">
        <v>9</v>
      </c>
      <c r="J511" s="136">
        <f>I511*$J$2</f>
        <v>0.54</v>
      </c>
      <c r="K511" s="136">
        <v>0</v>
      </c>
      <c r="L511" s="139"/>
      <c r="M511" s="139"/>
      <c r="N511" s="136"/>
      <c r="O511" s="11"/>
      <c r="P511" s="136"/>
      <c r="Q511" s="140"/>
      <c r="R511" s="136"/>
      <c r="S511" s="136"/>
      <c r="T511" s="136"/>
      <c r="U511" s="136">
        <f t="shared" si="129"/>
        <v>28.254497999999998</v>
      </c>
    </row>
    <row r="512" spans="1:21" ht="15" outlineLevel="2">
      <c r="A512" s="6" t="s">
        <v>516</v>
      </c>
      <c r="B512" s="7" t="s">
        <v>73</v>
      </c>
      <c r="C512" s="7" t="s">
        <v>74</v>
      </c>
      <c r="D512" s="8" t="s">
        <v>517</v>
      </c>
      <c r="E512" s="42" t="s">
        <v>76</v>
      </c>
      <c r="F512" s="39" t="s">
        <v>53</v>
      </c>
      <c r="G512" s="24" t="s">
        <v>64</v>
      </c>
      <c r="H512" s="136">
        <v>6.9197114</v>
      </c>
      <c r="I512" s="149">
        <v>6</v>
      </c>
      <c r="J512" s="136">
        <f>I512*$J$2</f>
        <v>0.36</v>
      </c>
      <c r="K512" s="136">
        <v>15</v>
      </c>
      <c r="L512" s="139"/>
      <c r="M512" s="139"/>
      <c r="N512" s="136"/>
      <c r="O512" s="11"/>
      <c r="P512" s="136"/>
      <c r="Q512" s="140"/>
      <c r="R512" s="136"/>
      <c r="S512" s="136"/>
      <c r="T512" s="136"/>
      <c r="U512" s="136">
        <f t="shared" si="129"/>
        <v>22.2797114</v>
      </c>
    </row>
    <row r="513" spans="1:21" ht="15" outlineLevel="2">
      <c r="A513" s="6" t="s">
        <v>516</v>
      </c>
      <c r="B513" s="7" t="s">
        <v>73</v>
      </c>
      <c r="C513" s="7" t="s">
        <v>74</v>
      </c>
      <c r="D513" s="8" t="s">
        <v>517</v>
      </c>
      <c r="E513" s="42" t="s">
        <v>76</v>
      </c>
      <c r="F513" s="39" t="s">
        <v>53</v>
      </c>
      <c r="G513" s="24" t="s">
        <v>65</v>
      </c>
      <c r="H513" s="136">
        <v>80.521994</v>
      </c>
      <c r="I513" s="149">
        <v>264</v>
      </c>
      <c r="J513" s="136">
        <f>I513*$J$2</f>
        <v>15.84</v>
      </c>
      <c r="K513" s="136">
        <v>105</v>
      </c>
      <c r="L513" s="139"/>
      <c r="M513" s="139"/>
      <c r="N513" s="136"/>
      <c r="O513" s="11"/>
      <c r="P513" s="136"/>
      <c r="Q513" s="140"/>
      <c r="R513" s="136"/>
      <c r="S513" s="136"/>
      <c r="T513" s="136"/>
      <c r="U513" s="136">
        <f t="shared" si="129"/>
        <v>201.361994</v>
      </c>
    </row>
    <row r="514" spans="1:21" ht="15" outlineLevel="2">
      <c r="A514" s="6" t="s">
        <v>516</v>
      </c>
      <c r="B514" s="7" t="s">
        <v>73</v>
      </c>
      <c r="C514" s="7" t="s">
        <v>74</v>
      </c>
      <c r="D514" s="8" t="s">
        <v>517</v>
      </c>
      <c r="E514" s="42" t="s">
        <v>76</v>
      </c>
      <c r="F514" s="39" t="s">
        <v>53</v>
      </c>
      <c r="G514" s="24" t="s">
        <v>66</v>
      </c>
      <c r="H514" s="136">
        <v>4.383147999999999</v>
      </c>
      <c r="I514" s="149">
        <v>5</v>
      </c>
      <c r="J514" s="136">
        <f>I514*$J$2</f>
        <v>0.3</v>
      </c>
      <c r="K514" s="136">
        <v>0</v>
      </c>
      <c r="L514" s="139"/>
      <c r="M514" s="139"/>
      <c r="N514" s="136"/>
      <c r="O514" s="11"/>
      <c r="P514" s="136"/>
      <c r="Q514" s="140"/>
      <c r="R514" s="136"/>
      <c r="S514" s="136"/>
      <c r="T514" s="136"/>
      <c r="U514" s="136">
        <f t="shared" si="129"/>
        <v>4.683147999999999</v>
      </c>
    </row>
    <row r="515" spans="1:21" ht="15" outlineLevel="2">
      <c r="A515" s="6" t="s">
        <v>516</v>
      </c>
      <c r="B515" s="7" t="s">
        <v>73</v>
      </c>
      <c r="C515" s="7" t="s">
        <v>74</v>
      </c>
      <c r="D515" s="8" t="s">
        <v>517</v>
      </c>
      <c r="E515" s="42" t="s">
        <v>76</v>
      </c>
      <c r="F515" s="39" t="s">
        <v>53</v>
      </c>
      <c r="G515" s="24" t="s">
        <v>90</v>
      </c>
      <c r="H515" s="136">
        <v>44.366266</v>
      </c>
      <c r="I515" s="149">
        <v>160</v>
      </c>
      <c r="J515" s="136">
        <f>I515*$J$2</f>
        <v>9.6</v>
      </c>
      <c r="K515" s="136">
        <v>0</v>
      </c>
      <c r="L515" s="139"/>
      <c r="M515" s="139"/>
      <c r="N515" s="136"/>
      <c r="O515" s="11"/>
      <c r="P515" s="136"/>
      <c r="Q515" s="140"/>
      <c r="R515" s="136"/>
      <c r="S515" s="136"/>
      <c r="T515" s="136"/>
      <c r="U515" s="136">
        <f t="shared" si="129"/>
        <v>53.966266000000005</v>
      </c>
    </row>
    <row r="516" spans="1:21" ht="15" outlineLevel="2">
      <c r="A516" s="6" t="str">
        <f>A515</f>
        <v>M811</v>
      </c>
      <c r="B516" s="11" t="str">
        <f>B515</f>
        <v>DOH-ICS</v>
      </c>
      <c r="C516" s="11" t="str">
        <f>C515</f>
        <v>INTEGRATED CLINICAL SERVICES</v>
      </c>
      <c r="D516" s="13" t="str">
        <f>D515</f>
        <v>406550</v>
      </c>
      <c r="E516" s="24" t="str">
        <f>E515</f>
        <v>40-60</v>
      </c>
      <c r="F516" s="39" t="s">
        <v>585</v>
      </c>
      <c r="G516" s="24" t="s">
        <v>585</v>
      </c>
      <c r="H516" s="136"/>
      <c r="I516" s="149"/>
      <c r="J516" s="136"/>
      <c r="K516" s="136"/>
      <c r="L516" s="139">
        <v>2.2</v>
      </c>
      <c r="M516" s="139">
        <v>0.15</v>
      </c>
      <c r="N516" s="136">
        <f>L516*M516*$N$2</f>
        <v>1034.55</v>
      </c>
      <c r="O516" s="11"/>
      <c r="P516" s="136"/>
      <c r="Q516" s="140"/>
      <c r="R516" s="136"/>
      <c r="S516" s="136"/>
      <c r="T516" s="136"/>
      <c r="U516" s="136">
        <f t="shared" si="129"/>
        <v>1034.55</v>
      </c>
    </row>
    <row r="517" spans="1:21" ht="15" outlineLevel="2">
      <c r="A517" s="28" t="s">
        <v>516</v>
      </c>
      <c r="B517" s="11" t="str">
        <f>B516</f>
        <v>DOH-ICS</v>
      </c>
      <c r="C517" s="11" t="str">
        <f>C516</f>
        <v>INTEGRATED CLINICAL SERVICES</v>
      </c>
      <c r="D517" s="13" t="str">
        <f>D516</f>
        <v>406550</v>
      </c>
      <c r="E517" s="38" t="str">
        <f>E516</f>
        <v>40-60</v>
      </c>
      <c r="F517" s="20" t="s">
        <v>615</v>
      </c>
      <c r="G517" s="11" t="s">
        <v>615</v>
      </c>
      <c r="H517" s="136"/>
      <c r="I517" s="140"/>
      <c r="J517" s="136"/>
      <c r="K517" s="136"/>
      <c r="L517" s="139"/>
      <c r="M517" s="139"/>
      <c r="N517" s="136"/>
      <c r="O517" s="29">
        <f>1.25+0.75</f>
        <v>2</v>
      </c>
      <c r="P517" s="136">
        <f>O517*$P$2</f>
        <v>144</v>
      </c>
      <c r="Q517" s="140"/>
      <c r="R517" s="136"/>
      <c r="S517" s="136"/>
      <c r="T517" s="136"/>
      <c r="U517" s="136">
        <f t="shared" si="129"/>
        <v>144</v>
      </c>
    </row>
    <row r="518" spans="1:21" s="5" customFormat="1" ht="15.75" outlineLevel="1">
      <c r="A518" s="1" t="s">
        <v>954</v>
      </c>
      <c r="B518" s="172"/>
      <c r="C518" s="2"/>
      <c r="D518" s="19"/>
      <c r="E518" s="44"/>
      <c r="F518" s="51"/>
      <c r="G518" s="2"/>
      <c r="H518" s="137">
        <f aca="true" t="shared" si="130" ref="H518:U518">SUBTOTAL(9,H510:H517)</f>
        <v>180.0278424</v>
      </c>
      <c r="I518" s="144">
        <f t="shared" si="130"/>
        <v>492</v>
      </c>
      <c r="J518" s="137">
        <f t="shared" si="130"/>
        <v>31.439999999999998</v>
      </c>
      <c r="K518" s="137">
        <f t="shared" si="130"/>
        <v>180</v>
      </c>
      <c r="L518" s="141">
        <f t="shared" si="130"/>
        <v>2.2</v>
      </c>
      <c r="M518" s="141">
        <f t="shared" si="130"/>
        <v>0.15</v>
      </c>
      <c r="N518" s="137">
        <f t="shared" si="130"/>
        <v>1034.55</v>
      </c>
      <c r="O518" s="45">
        <f t="shared" si="130"/>
        <v>2</v>
      </c>
      <c r="P518" s="137">
        <f t="shared" si="130"/>
        <v>144</v>
      </c>
      <c r="Q518" s="167">
        <f t="shared" si="130"/>
        <v>0</v>
      </c>
      <c r="R518" s="137">
        <f t="shared" si="130"/>
        <v>0</v>
      </c>
      <c r="S518" s="137">
        <f t="shared" si="130"/>
        <v>0</v>
      </c>
      <c r="T518" s="137">
        <f t="shared" si="130"/>
        <v>0</v>
      </c>
      <c r="U518" s="137">
        <f t="shared" si="130"/>
        <v>1570.0178424</v>
      </c>
    </row>
    <row r="519" spans="1:21" ht="15" outlineLevel="2">
      <c r="A519" s="6" t="s">
        <v>518</v>
      </c>
      <c r="B519" s="7" t="s">
        <v>73</v>
      </c>
      <c r="C519" s="7" t="s">
        <v>74</v>
      </c>
      <c r="D519" s="8" t="s">
        <v>519</v>
      </c>
      <c r="E519" s="42" t="s">
        <v>76</v>
      </c>
      <c r="F519" s="39" t="s">
        <v>53</v>
      </c>
      <c r="G519" s="24" t="s">
        <v>62</v>
      </c>
      <c r="H519" s="136">
        <v>331.7445334</v>
      </c>
      <c r="I519" s="149">
        <v>971</v>
      </c>
      <c r="J519" s="136">
        <f>I519*$J$1</f>
        <v>97.10000000000001</v>
      </c>
      <c r="K519" s="136">
        <v>45</v>
      </c>
      <c r="L519" s="139"/>
      <c r="M519" s="139"/>
      <c r="N519" s="136"/>
      <c r="O519" s="11"/>
      <c r="P519" s="136"/>
      <c r="Q519" s="140"/>
      <c r="R519" s="136"/>
      <c r="S519" s="136"/>
      <c r="T519" s="136"/>
      <c r="U519" s="136">
        <f aca="true" t="shared" si="131" ref="U519:U527">H519+J519+K519+N519+P519+R519+S519+T519</f>
        <v>473.84453340000005</v>
      </c>
    </row>
    <row r="520" spans="1:21" ht="15" outlineLevel="2">
      <c r="A520" s="6" t="s">
        <v>518</v>
      </c>
      <c r="B520" s="7" t="s">
        <v>73</v>
      </c>
      <c r="C520" s="7" t="s">
        <v>74</v>
      </c>
      <c r="D520" s="8" t="s">
        <v>519</v>
      </c>
      <c r="E520" s="42" t="s">
        <v>76</v>
      </c>
      <c r="F520" s="39" t="s">
        <v>53</v>
      </c>
      <c r="G520" s="24" t="s">
        <v>63</v>
      </c>
      <c r="H520" s="136">
        <v>949.3416211999998</v>
      </c>
      <c r="I520" s="149">
        <v>207</v>
      </c>
      <c r="J520" s="136">
        <f>I520*$J$2</f>
        <v>12.42</v>
      </c>
      <c r="K520" s="136">
        <v>60</v>
      </c>
      <c r="L520" s="139"/>
      <c r="M520" s="139"/>
      <c r="N520" s="136"/>
      <c r="O520" s="11"/>
      <c r="P520" s="136"/>
      <c r="Q520" s="140"/>
      <c r="R520" s="136"/>
      <c r="S520" s="136"/>
      <c r="T520" s="136"/>
      <c r="U520" s="136">
        <f t="shared" si="131"/>
        <v>1021.7616211999998</v>
      </c>
    </row>
    <row r="521" spans="1:21" ht="15" outlineLevel="2">
      <c r="A521" s="6" t="s">
        <v>518</v>
      </c>
      <c r="B521" s="7" t="s">
        <v>73</v>
      </c>
      <c r="C521" s="7" t="s">
        <v>74</v>
      </c>
      <c r="D521" s="8" t="s">
        <v>519</v>
      </c>
      <c r="E521" s="42" t="s">
        <v>76</v>
      </c>
      <c r="F521" s="39" t="s">
        <v>53</v>
      </c>
      <c r="G521" s="24" t="s">
        <v>64</v>
      </c>
      <c r="H521" s="136">
        <v>35.673372</v>
      </c>
      <c r="I521" s="149">
        <v>38</v>
      </c>
      <c r="J521" s="136">
        <f>I521*$J$2</f>
        <v>2.28</v>
      </c>
      <c r="K521" s="136">
        <v>30</v>
      </c>
      <c r="L521" s="139"/>
      <c r="M521" s="139"/>
      <c r="N521" s="136"/>
      <c r="O521" s="11"/>
      <c r="P521" s="136"/>
      <c r="Q521" s="140"/>
      <c r="R521" s="136"/>
      <c r="S521" s="136"/>
      <c r="T521" s="136"/>
      <c r="U521" s="136">
        <f t="shared" si="131"/>
        <v>67.953372</v>
      </c>
    </row>
    <row r="522" spans="1:21" ht="15" outlineLevel="2">
      <c r="A522" s="6" t="s">
        <v>518</v>
      </c>
      <c r="B522" s="7" t="s">
        <v>73</v>
      </c>
      <c r="C522" s="7" t="s">
        <v>74</v>
      </c>
      <c r="D522" s="8" t="s">
        <v>519</v>
      </c>
      <c r="E522" s="42" t="s">
        <v>76</v>
      </c>
      <c r="F522" s="39" t="s">
        <v>53</v>
      </c>
      <c r="G522" s="24" t="s">
        <v>65</v>
      </c>
      <c r="H522" s="136">
        <v>83.94252719999999</v>
      </c>
      <c r="I522" s="149">
        <v>258</v>
      </c>
      <c r="J522" s="136">
        <f>I522*$J$2</f>
        <v>15.479999999999999</v>
      </c>
      <c r="K522" s="136">
        <v>15</v>
      </c>
      <c r="L522" s="139"/>
      <c r="M522" s="139"/>
      <c r="N522" s="136"/>
      <c r="O522" s="11"/>
      <c r="P522" s="136"/>
      <c r="Q522" s="140"/>
      <c r="R522" s="136"/>
      <c r="S522" s="136"/>
      <c r="T522" s="136"/>
      <c r="U522" s="136">
        <f t="shared" si="131"/>
        <v>114.42252719999999</v>
      </c>
    </row>
    <row r="523" spans="1:21" ht="15" outlineLevel="2">
      <c r="A523" s="6" t="s">
        <v>518</v>
      </c>
      <c r="B523" s="7" t="s">
        <v>73</v>
      </c>
      <c r="C523" s="7" t="s">
        <v>74</v>
      </c>
      <c r="D523" s="8" t="s">
        <v>519</v>
      </c>
      <c r="E523" s="42" t="s">
        <v>76</v>
      </c>
      <c r="F523" s="39" t="s">
        <v>53</v>
      </c>
      <c r="G523" s="24" t="s">
        <v>66</v>
      </c>
      <c r="H523" s="136">
        <v>46.4445912</v>
      </c>
      <c r="I523" s="149">
        <v>45</v>
      </c>
      <c r="J523" s="136">
        <f>I523*$J$2</f>
        <v>2.6999999999999997</v>
      </c>
      <c r="K523" s="136">
        <v>30</v>
      </c>
      <c r="L523" s="139"/>
      <c r="M523" s="139"/>
      <c r="N523" s="136"/>
      <c r="O523" s="11"/>
      <c r="P523" s="136"/>
      <c r="Q523" s="140"/>
      <c r="R523" s="136"/>
      <c r="S523" s="136"/>
      <c r="T523" s="136"/>
      <c r="U523" s="136">
        <f t="shared" si="131"/>
        <v>79.14459120000001</v>
      </c>
    </row>
    <row r="524" spans="1:21" ht="15" outlineLevel="2">
      <c r="A524" s="6" t="s">
        <v>518</v>
      </c>
      <c r="B524" s="7" t="s">
        <v>73</v>
      </c>
      <c r="C524" s="7" t="s">
        <v>74</v>
      </c>
      <c r="D524" s="8" t="s">
        <v>519</v>
      </c>
      <c r="E524" s="42" t="s">
        <v>76</v>
      </c>
      <c r="F524" s="39" t="s">
        <v>53</v>
      </c>
      <c r="G524" s="24" t="s">
        <v>90</v>
      </c>
      <c r="H524" s="136">
        <v>120.23247599999999</v>
      </c>
      <c r="I524" s="149">
        <v>441</v>
      </c>
      <c r="J524" s="136">
        <f>I524*$J$2</f>
        <v>26.459999999999997</v>
      </c>
      <c r="K524" s="136">
        <v>0</v>
      </c>
      <c r="L524" s="139"/>
      <c r="M524" s="139"/>
      <c r="N524" s="136"/>
      <c r="O524" s="11"/>
      <c r="P524" s="136"/>
      <c r="Q524" s="140"/>
      <c r="R524" s="136"/>
      <c r="S524" s="136"/>
      <c r="T524" s="136"/>
      <c r="U524" s="136">
        <f t="shared" si="131"/>
        <v>146.692476</v>
      </c>
    </row>
    <row r="525" spans="1:21" ht="15" outlineLevel="2">
      <c r="A525" s="6" t="str">
        <f>A524</f>
        <v>M813</v>
      </c>
      <c r="B525" s="11" t="str">
        <f>B524</f>
        <v>DOH-ICS</v>
      </c>
      <c r="C525" s="11" t="str">
        <f>C524</f>
        <v>INTEGRATED CLINICAL SERVICES</v>
      </c>
      <c r="D525" s="13" t="str">
        <f>D524</f>
        <v>406150</v>
      </c>
      <c r="E525" s="24" t="str">
        <f>E524</f>
        <v>40-60</v>
      </c>
      <c r="F525" s="39" t="s">
        <v>585</v>
      </c>
      <c r="G525" s="24" t="s">
        <v>585</v>
      </c>
      <c r="H525" s="136"/>
      <c r="I525" s="149"/>
      <c r="J525" s="136"/>
      <c r="K525" s="136"/>
      <c r="L525" s="139">
        <v>1</v>
      </c>
      <c r="M525" s="139">
        <v>0.62</v>
      </c>
      <c r="N525" s="136">
        <f>L525*M525*$N$2</f>
        <v>1943.7</v>
      </c>
      <c r="O525" s="11"/>
      <c r="P525" s="136"/>
      <c r="Q525" s="140"/>
      <c r="R525" s="136"/>
      <c r="S525" s="136"/>
      <c r="T525" s="136"/>
      <c r="U525" s="136">
        <f t="shared" si="131"/>
        <v>1943.7</v>
      </c>
    </row>
    <row r="526" spans="1:21" ht="15" outlineLevel="2">
      <c r="A526" s="28" t="s">
        <v>518</v>
      </c>
      <c r="B526" s="11" t="str">
        <f aca="true" t="shared" si="132" ref="B526:E527">B525</f>
        <v>DOH-ICS</v>
      </c>
      <c r="C526" s="11" t="str">
        <f t="shared" si="132"/>
        <v>INTEGRATED CLINICAL SERVICES</v>
      </c>
      <c r="D526" s="13" t="str">
        <f t="shared" si="132"/>
        <v>406150</v>
      </c>
      <c r="E526" s="38" t="str">
        <f t="shared" si="132"/>
        <v>40-60</v>
      </c>
      <c r="F526" s="20" t="s">
        <v>615</v>
      </c>
      <c r="G526" s="11" t="s">
        <v>615</v>
      </c>
      <c r="H526" s="136"/>
      <c r="I526" s="140"/>
      <c r="J526" s="136"/>
      <c r="K526" s="136"/>
      <c r="L526" s="139"/>
      <c r="M526" s="139"/>
      <c r="N526" s="136"/>
      <c r="O526" s="29">
        <v>0.75</v>
      </c>
      <c r="P526" s="136">
        <f>O526*$P$2</f>
        <v>54</v>
      </c>
      <c r="Q526" s="140"/>
      <c r="R526" s="136"/>
      <c r="S526" s="136"/>
      <c r="T526" s="136"/>
      <c r="U526" s="136">
        <f t="shared" si="131"/>
        <v>54</v>
      </c>
    </row>
    <row r="527" spans="1:21" ht="15" outlineLevel="2">
      <c r="A527" s="36" t="s">
        <v>679</v>
      </c>
      <c r="B527" s="11" t="str">
        <f t="shared" si="132"/>
        <v>DOH-ICS</v>
      </c>
      <c r="C527" s="11" t="str">
        <f t="shared" si="132"/>
        <v>INTEGRATED CLINICAL SERVICES</v>
      </c>
      <c r="D527" s="13" t="str">
        <f t="shared" si="132"/>
        <v>406150</v>
      </c>
      <c r="E527" s="27" t="str">
        <f t="shared" si="132"/>
        <v>40-60</v>
      </c>
      <c r="F527" s="20" t="s">
        <v>683</v>
      </c>
      <c r="G527" s="11" t="s">
        <v>683</v>
      </c>
      <c r="H527" s="136"/>
      <c r="I527" s="140"/>
      <c r="J527" s="136"/>
      <c r="K527" s="136"/>
      <c r="L527" s="139"/>
      <c r="M527" s="139"/>
      <c r="N527" s="136"/>
      <c r="O527" s="34"/>
      <c r="P527" s="136"/>
      <c r="Q527" s="140"/>
      <c r="R527" s="136"/>
      <c r="S527" s="136"/>
      <c r="T527" s="150">
        <f>11.71+5.88</f>
        <v>17.59</v>
      </c>
      <c r="U527" s="136">
        <f t="shared" si="131"/>
        <v>17.59</v>
      </c>
    </row>
    <row r="528" spans="1:21" s="5" customFormat="1" ht="15.75" outlineLevel="1">
      <c r="A528" s="1" t="s">
        <v>955</v>
      </c>
      <c r="B528" s="172"/>
      <c r="C528" s="2"/>
      <c r="D528" s="19"/>
      <c r="E528" s="44"/>
      <c r="F528" s="51"/>
      <c r="G528" s="2"/>
      <c r="H528" s="137">
        <f aca="true" t="shared" si="133" ref="H528:U528">SUBTOTAL(9,H519:H527)</f>
        <v>1567.379121</v>
      </c>
      <c r="I528" s="144">
        <f t="shared" si="133"/>
        <v>1960</v>
      </c>
      <c r="J528" s="137">
        <f t="shared" si="133"/>
        <v>156.44000000000003</v>
      </c>
      <c r="K528" s="137">
        <f t="shared" si="133"/>
        <v>180</v>
      </c>
      <c r="L528" s="141">
        <f t="shared" si="133"/>
        <v>1</v>
      </c>
      <c r="M528" s="141">
        <f t="shared" si="133"/>
        <v>0.62</v>
      </c>
      <c r="N528" s="137">
        <f t="shared" si="133"/>
        <v>1943.7</v>
      </c>
      <c r="O528" s="45">
        <f t="shared" si="133"/>
        <v>0.75</v>
      </c>
      <c r="P528" s="137">
        <f t="shared" si="133"/>
        <v>54</v>
      </c>
      <c r="Q528" s="167">
        <f t="shared" si="133"/>
        <v>0</v>
      </c>
      <c r="R528" s="137">
        <f t="shared" si="133"/>
        <v>0</v>
      </c>
      <c r="S528" s="137">
        <f t="shared" si="133"/>
        <v>0</v>
      </c>
      <c r="T528" s="137">
        <f t="shared" si="133"/>
        <v>17.59</v>
      </c>
      <c r="U528" s="137">
        <f t="shared" si="133"/>
        <v>3919.109121</v>
      </c>
    </row>
    <row r="529" spans="1:21" ht="15" outlineLevel="2">
      <c r="A529" s="6" t="s">
        <v>520</v>
      </c>
      <c r="B529" s="7" t="s">
        <v>73</v>
      </c>
      <c r="C529" s="7" t="s">
        <v>74</v>
      </c>
      <c r="D529" s="8" t="s">
        <v>521</v>
      </c>
      <c r="E529" s="42" t="s">
        <v>76</v>
      </c>
      <c r="F529" s="39" t="s">
        <v>53</v>
      </c>
      <c r="G529" s="24" t="s">
        <v>62</v>
      </c>
      <c r="H529" s="136">
        <v>22.051009399999998</v>
      </c>
      <c r="I529" s="149">
        <v>67</v>
      </c>
      <c r="J529" s="136">
        <f>I529*$J$1</f>
        <v>6.7</v>
      </c>
      <c r="K529" s="136">
        <v>15</v>
      </c>
      <c r="L529" s="139"/>
      <c r="M529" s="139"/>
      <c r="N529" s="136"/>
      <c r="O529" s="11"/>
      <c r="P529" s="136"/>
      <c r="Q529" s="140"/>
      <c r="R529" s="136"/>
      <c r="S529" s="136"/>
      <c r="T529" s="136"/>
      <c r="U529" s="136">
        <f aca="true" t="shared" si="134" ref="U529:U536">H529+J529+K529+N529+P529+R529+S529+T529</f>
        <v>43.7510094</v>
      </c>
    </row>
    <row r="530" spans="1:21" ht="15" outlineLevel="2">
      <c r="A530" s="6" t="s">
        <v>520</v>
      </c>
      <c r="B530" s="7" t="s">
        <v>73</v>
      </c>
      <c r="C530" s="7" t="s">
        <v>74</v>
      </c>
      <c r="D530" s="8" t="s">
        <v>521</v>
      </c>
      <c r="E530" s="42" t="s">
        <v>76</v>
      </c>
      <c r="F530" s="39" t="s">
        <v>53</v>
      </c>
      <c r="G530" s="24" t="s">
        <v>63</v>
      </c>
      <c r="H530" s="136">
        <v>4.624326</v>
      </c>
      <c r="I530" s="149">
        <v>3</v>
      </c>
      <c r="J530" s="136">
        <f>I530*$J$2</f>
        <v>0.18</v>
      </c>
      <c r="K530" s="136">
        <v>0</v>
      </c>
      <c r="L530" s="139"/>
      <c r="M530" s="139"/>
      <c r="N530" s="136"/>
      <c r="O530" s="11"/>
      <c r="P530" s="136"/>
      <c r="Q530" s="140"/>
      <c r="R530" s="136"/>
      <c r="S530" s="136"/>
      <c r="T530" s="136"/>
      <c r="U530" s="136">
        <f t="shared" si="134"/>
        <v>4.804326</v>
      </c>
    </row>
    <row r="531" spans="1:21" ht="15" outlineLevel="2">
      <c r="A531" s="6" t="s">
        <v>520</v>
      </c>
      <c r="B531" s="7" t="s">
        <v>73</v>
      </c>
      <c r="C531" s="7" t="s">
        <v>74</v>
      </c>
      <c r="D531" s="8" t="s">
        <v>521</v>
      </c>
      <c r="E531" s="42" t="s">
        <v>76</v>
      </c>
      <c r="F531" s="39" t="s">
        <v>53</v>
      </c>
      <c r="G531" s="24" t="s">
        <v>64</v>
      </c>
      <c r="H531" s="136">
        <v>2.380322</v>
      </c>
      <c r="I531" s="149">
        <v>2</v>
      </c>
      <c r="J531" s="136">
        <f>I531*$J$2</f>
        <v>0.12</v>
      </c>
      <c r="K531" s="136">
        <v>15</v>
      </c>
      <c r="L531" s="139"/>
      <c r="M531" s="139"/>
      <c r="N531" s="136"/>
      <c r="O531" s="11"/>
      <c r="P531" s="136"/>
      <c r="Q531" s="140"/>
      <c r="R531" s="136"/>
      <c r="S531" s="136"/>
      <c r="T531" s="136"/>
      <c r="U531" s="136">
        <f t="shared" si="134"/>
        <v>17.500322</v>
      </c>
    </row>
    <row r="532" spans="1:21" ht="15" outlineLevel="2">
      <c r="A532" s="6" t="s">
        <v>520</v>
      </c>
      <c r="B532" s="7" t="s">
        <v>73</v>
      </c>
      <c r="C532" s="7" t="s">
        <v>74</v>
      </c>
      <c r="D532" s="8" t="s">
        <v>521</v>
      </c>
      <c r="E532" s="42" t="s">
        <v>76</v>
      </c>
      <c r="F532" s="39" t="s">
        <v>53</v>
      </c>
      <c r="G532" s="24" t="s">
        <v>65</v>
      </c>
      <c r="H532" s="136">
        <v>254.93982639999993</v>
      </c>
      <c r="I532" s="149">
        <v>894</v>
      </c>
      <c r="J532" s="136">
        <f>I532*$J$2</f>
        <v>53.64</v>
      </c>
      <c r="K532" s="136">
        <v>135</v>
      </c>
      <c r="L532" s="139"/>
      <c r="M532" s="139"/>
      <c r="N532" s="136"/>
      <c r="O532" s="11"/>
      <c r="P532" s="136"/>
      <c r="Q532" s="140"/>
      <c r="R532" s="136"/>
      <c r="S532" s="136"/>
      <c r="T532" s="136"/>
      <c r="U532" s="136">
        <f t="shared" si="134"/>
        <v>443.57982639999994</v>
      </c>
    </row>
    <row r="533" spans="1:21" ht="15" outlineLevel="2">
      <c r="A533" s="6" t="s">
        <v>520</v>
      </c>
      <c r="B533" s="7" t="s">
        <v>73</v>
      </c>
      <c r="C533" s="7" t="s">
        <v>74</v>
      </c>
      <c r="D533" s="8" t="s">
        <v>521</v>
      </c>
      <c r="E533" s="42" t="s">
        <v>76</v>
      </c>
      <c r="F533" s="39" t="s">
        <v>53</v>
      </c>
      <c r="G533" s="11" t="s">
        <v>66</v>
      </c>
      <c r="H533" s="136">
        <v>0.9112334</v>
      </c>
      <c r="I533" s="140">
        <v>1</v>
      </c>
      <c r="J533" s="136">
        <f>I533*$J$2</f>
        <v>0.06</v>
      </c>
      <c r="K533" s="136">
        <v>0</v>
      </c>
      <c r="L533" s="139"/>
      <c r="M533" s="139"/>
      <c r="N533" s="136"/>
      <c r="O533" s="11"/>
      <c r="P533" s="136"/>
      <c r="Q533" s="140"/>
      <c r="R533" s="136"/>
      <c r="S533" s="136"/>
      <c r="T533" s="136"/>
      <c r="U533" s="136">
        <f t="shared" si="134"/>
        <v>0.9712334</v>
      </c>
    </row>
    <row r="534" spans="1:21" ht="15" outlineLevel="2">
      <c r="A534" s="6" t="s">
        <v>520</v>
      </c>
      <c r="B534" s="7" t="s">
        <v>73</v>
      </c>
      <c r="C534" s="7" t="s">
        <v>74</v>
      </c>
      <c r="D534" s="8" t="s">
        <v>521</v>
      </c>
      <c r="E534" s="42" t="s">
        <v>76</v>
      </c>
      <c r="F534" s="39" t="s">
        <v>53</v>
      </c>
      <c r="G534" s="24" t="s">
        <v>90</v>
      </c>
      <c r="H534" s="136">
        <v>277.239354</v>
      </c>
      <c r="I534" s="149">
        <v>1005</v>
      </c>
      <c r="J534" s="136">
        <f>I534*$J$2</f>
        <v>60.3</v>
      </c>
      <c r="K534" s="136">
        <v>15</v>
      </c>
      <c r="L534" s="139"/>
      <c r="M534" s="139"/>
      <c r="N534" s="136"/>
      <c r="O534" s="11"/>
      <c r="P534" s="136"/>
      <c r="Q534" s="140"/>
      <c r="R534" s="136"/>
      <c r="S534" s="136"/>
      <c r="T534" s="136"/>
      <c r="U534" s="136">
        <f t="shared" si="134"/>
        <v>352.539354</v>
      </c>
    </row>
    <row r="535" spans="1:21" ht="15" outlineLevel="2">
      <c r="A535" s="6" t="str">
        <f>A534</f>
        <v>M814</v>
      </c>
      <c r="B535" s="11" t="str">
        <f>B534</f>
        <v>DOH-ICS</v>
      </c>
      <c r="C535" s="11" t="str">
        <f>C534</f>
        <v>INTEGRATED CLINICAL SERVICES</v>
      </c>
      <c r="D535" s="13" t="str">
        <f>D534</f>
        <v>406650</v>
      </c>
      <c r="E535" s="24" t="str">
        <f>E534</f>
        <v>40-60</v>
      </c>
      <c r="F535" s="39" t="s">
        <v>585</v>
      </c>
      <c r="G535" s="24" t="s">
        <v>585</v>
      </c>
      <c r="H535" s="136"/>
      <c r="I535" s="149"/>
      <c r="J535" s="136"/>
      <c r="K535" s="136"/>
      <c r="L535" s="139">
        <v>4</v>
      </c>
      <c r="M535" s="139">
        <v>0.2</v>
      </c>
      <c r="N535" s="136">
        <f>L535*M535*$N$2</f>
        <v>2508</v>
      </c>
      <c r="O535" s="11"/>
      <c r="P535" s="136"/>
      <c r="Q535" s="140"/>
      <c r="R535" s="136"/>
      <c r="S535" s="136"/>
      <c r="T535" s="136"/>
      <c r="U535" s="136">
        <f t="shared" si="134"/>
        <v>2508</v>
      </c>
    </row>
    <row r="536" spans="1:21" ht="15" outlineLevel="2">
      <c r="A536" s="28" t="s">
        <v>520</v>
      </c>
      <c r="B536" s="11" t="str">
        <f>B535</f>
        <v>DOH-ICS</v>
      </c>
      <c r="C536" s="11" t="str">
        <f>C535</f>
        <v>INTEGRATED CLINICAL SERVICES</v>
      </c>
      <c r="D536" s="13" t="str">
        <f>D535</f>
        <v>406650</v>
      </c>
      <c r="E536" s="38" t="str">
        <f>E535</f>
        <v>40-60</v>
      </c>
      <c r="F536" s="20" t="s">
        <v>615</v>
      </c>
      <c r="G536" s="11" t="s">
        <v>615</v>
      </c>
      <c r="H536" s="136"/>
      <c r="I536" s="140"/>
      <c r="J536" s="136"/>
      <c r="K536" s="136"/>
      <c r="L536" s="139"/>
      <c r="M536" s="139"/>
      <c r="N536" s="136"/>
      <c r="O536" s="29">
        <v>1.25</v>
      </c>
      <c r="P536" s="136">
        <f>O536*$P$2</f>
        <v>90</v>
      </c>
      <c r="Q536" s="140"/>
      <c r="R536" s="136"/>
      <c r="S536" s="136"/>
      <c r="T536" s="136"/>
      <c r="U536" s="136">
        <f t="shared" si="134"/>
        <v>90</v>
      </c>
    </row>
    <row r="537" spans="1:21" s="5" customFormat="1" ht="15.75" outlineLevel="1">
      <c r="A537" s="1" t="s">
        <v>956</v>
      </c>
      <c r="B537" s="172"/>
      <c r="C537" s="2"/>
      <c r="D537" s="19"/>
      <c r="E537" s="44"/>
      <c r="F537" s="51"/>
      <c r="G537" s="2"/>
      <c r="H537" s="137">
        <f aca="true" t="shared" si="135" ref="H537:U537">SUBTOTAL(9,H529:H536)</f>
        <v>562.1460711999999</v>
      </c>
      <c r="I537" s="144">
        <f t="shared" si="135"/>
        <v>1972</v>
      </c>
      <c r="J537" s="137">
        <f t="shared" si="135"/>
        <v>121</v>
      </c>
      <c r="K537" s="137">
        <f t="shared" si="135"/>
        <v>180</v>
      </c>
      <c r="L537" s="141">
        <f t="shared" si="135"/>
        <v>4</v>
      </c>
      <c r="M537" s="141">
        <f t="shared" si="135"/>
        <v>0.2</v>
      </c>
      <c r="N537" s="137">
        <f t="shared" si="135"/>
        <v>2508</v>
      </c>
      <c r="O537" s="45">
        <f t="shared" si="135"/>
        <v>1.25</v>
      </c>
      <c r="P537" s="137">
        <f t="shared" si="135"/>
        <v>90</v>
      </c>
      <c r="Q537" s="167">
        <f t="shared" si="135"/>
        <v>0</v>
      </c>
      <c r="R537" s="137">
        <f t="shared" si="135"/>
        <v>0</v>
      </c>
      <c r="S537" s="137">
        <f t="shared" si="135"/>
        <v>0</v>
      </c>
      <c r="T537" s="137">
        <f t="shared" si="135"/>
        <v>0</v>
      </c>
      <c r="U537" s="137">
        <f t="shared" si="135"/>
        <v>3461.1460712</v>
      </c>
    </row>
    <row r="538" spans="1:21" ht="15" outlineLevel="2">
      <c r="A538" s="6" t="s">
        <v>522</v>
      </c>
      <c r="B538" s="7" t="s">
        <v>73</v>
      </c>
      <c r="C538" s="7" t="s">
        <v>74</v>
      </c>
      <c r="D538" s="8" t="s">
        <v>523</v>
      </c>
      <c r="E538" s="42" t="s">
        <v>139</v>
      </c>
      <c r="F538" s="39" t="s">
        <v>53</v>
      </c>
      <c r="G538" s="24" t="s">
        <v>62</v>
      </c>
      <c r="H538" s="136">
        <v>57.342691</v>
      </c>
      <c r="I538" s="149">
        <v>158</v>
      </c>
      <c r="J538" s="136">
        <f>I538*$J$1</f>
        <v>15.8</v>
      </c>
      <c r="K538" s="136">
        <v>30</v>
      </c>
      <c r="L538" s="139"/>
      <c r="M538" s="139"/>
      <c r="N538" s="136"/>
      <c r="O538" s="11"/>
      <c r="P538" s="136"/>
      <c r="Q538" s="140"/>
      <c r="R538" s="136"/>
      <c r="S538" s="136"/>
      <c r="T538" s="136"/>
      <c r="U538" s="136">
        <f aca="true" t="shared" si="136" ref="U538:U543">H538+J538+K538+N538+P538+R538+S538+T538</f>
        <v>103.142691</v>
      </c>
    </row>
    <row r="539" spans="1:21" ht="15" outlineLevel="2">
      <c r="A539" s="6" t="s">
        <v>522</v>
      </c>
      <c r="B539" s="7" t="s">
        <v>73</v>
      </c>
      <c r="C539" s="7" t="s">
        <v>74</v>
      </c>
      <c r="D539" s="8" t="s">
        <v>523</v>
      </c>
      <c r="E539" s="42" t="s">
        <v>139</v>
      </c>
      <c r="F539" s="39" t="s">
        <v>53</v>
      </c>
      <c r="G539" s="24" t="s">
        <v>63</v>
      </c>
      <c r="H539" s="136">
        <v>178.73387</v>
      </c>
      <c r="I539" s="149">
        <v>67</v>
      </c>
      <c r="J539" s="136">
        <f>I539*$J$2</f>
        <v>4.02</v>
      </c>
      <c r="K539" s="136">
        <v>60</v>
      </c>
      <c r="L539" s="139"/>
      <c r="M539" s="139"/>
      <c r="N539" s="136"/>
      <c r="O539" s="11"/>
      <c r="P539" s="136"/>
      <c r="Q539" s="140"/>
      <c r="R539" s="136"/>
      <c r="S539" s="136"/>
      <c r="T539" s="136"/>
      <c r="U539" s="136">
        <f t="shared" si="136"/>
        <v>242.75387</v>
      </c>
    </row>
    <row r="540" spans="1:21" ht="15" outlineLevel="2">
      <c r="A540" s="6" t="s">
        <v>522</v>
      </c>
      <c r="B540" s="7" t="s">
        <v>73</v>
      </c>
      <c r="C540" s="7" t="s">
        <v>74</v>
      </c>
      <c r="D540" s="8" t="s">
        <v>523</v>
      </c>
      <c r="E540" s="42" t="s">
        <v>139</v>
      </c>
      <c r="F540" s="39" t="s">
        <v>53</v>
      </c>
      <c r="G540" s="24" t="s">
        <v>64</v>
      </c>
      <c r="H540" s="136">
        <v>39.9684376</v>
      </c>
      <c r="I540" s="149">
        <v>36</v>
      </c>
      <c r="J540" s="136">
        <f>I540*$J$2</f>
        <v>2.16</v>
      </c>
      <c r="K540" s="136">
        <v>15</v>
      </c>
      <c r="L540" s="139"/>
      <c r="M540" s="139"/>
      <c r="N540" s="136"/>
      <c r="O540" s="11"/>
      <c r="P540" s="136"/>
      <c r="Q540" s="140"/>
      <c r="R540" s="136"/>
      <c r="S540" s="136"/>
      <c r="T540" s="136"/>
      <c r="U540" s="136">
        <f t="shared" si="136"/>
        <v>57.1284376</v>
      </c>
    </row>
    <row r="541" spans="1:21" ht="15" outlineLevel="2">
      <c r="A541" s="6" t="s">
        <v>522</v>
      </c>
      <c r="B541" s="7" t="s">
        <v>73</v>
      </c>
      <c r="C541" s="7" t="s">
        <v>74</v>
      </c>
      <c r="D541" s="8" t="s">
        <v>523</v>
      </c>
      <c r="E541" s="42" t="s">
        <v>139</v>
      </c>
      <c r="F541" s="39" t="s">
        <v>53</v>
      </c>
      <c r="G541" s="24" t="s">
        <v>65</v>
      </c>
      <c r="H541" s="136">
        <v>18.309604599999997</v>
      </c>
      <c r="I541" s="149">
        <v>37</v>
      </c>
      <c r="J541" s="136">
        <f>I541*$J$2</f>
        <v>2.2199999999999998</v>
      </c>
      <c r="K541" s="136">
        <v>60</v>
      </c>
      <c r="L541" s="139"/>
      <c r="M541" s="139"/>
      <c r="N541" s="136"/>
      <c r="O541" s="11"/>
      <c r="P541" s="136"/>
      <c r="Q541" s="140"/>
      <c r="R541" s="136"/>
      <c r="S541" s="136"/>
      <c r="T541" s="136"/>
      <c r="U541" s="136">
        <f t="shared" si="136"/>
        <v>80.5296046</v>
      </c>
    </row>
    <row r="542" spans="1:21" ht="15" outlineLevel="2">
      <c r="A542" s="6" t="s">
        <v>522</v>
      </c>
      <c r="B542" s="7" t="s">
        <v>73</v>
      </c>
      <c r="C542" s="7" t="s">
        <v>74</v>
      </c>
      <c r="D542" s="8" t="s">
        <v>523</v>
      </c>
      <c r="E542" s="42" t="s">
        <v>139</v>
      </c>
      <c r="F542" s="39" t="s">
        <v>53</v>
      </c>
      <c r="G542" s="24" t="s">
        <v>66</v>
      </c>
      <c r="H542" s="136">
        <v>16.249105599999996</v>
      </c>
      <c r="I542" s="149">
        <v>18</v>
      </c>
      <c r="J542" s="136">
        <f>I542*$J$2</f>
        <v>1.08</v>
      </c>
      <c r="K542" s="136">
        <v>15</v>
      </c>
      <c r="L542" s="139"/>
      <c r="M542" s="139"/>
      <c r="N542" s="136"/>
      <c r="O542" s="11"/>
      <c r="P542" s="136"/>
      <c r="Q542" s="140"/>
      <c r="R542" s="136"/>
      <c r="S542" s="136"/>
      <c r="T542" s="136"/>
      <c r="U542" s="136">
        <f t="shared" si="136"/>
        <v>32.3291056</v>
      </c>
    </row>
    <row r="543" spans="1:21" ht="15" outlineLevel="2">
      <c r="A543" s="6" t="str">
        <f>A542</f>
        <v>M852</v>
      </c>
      <c r="B543" s="11" t="str">
        <f>B542</f>
        <v>DOH-ICS</v>
      </c>
      <c r="C543" s="11" t="str">
        <f>C542</f>
        <v>INTEGRATED CLINICAL SERVICES</v>
      </c>
      <c r="D543" s="13" t="str">
        <f>D542</f>
        <v>408300</v>
      </c>
      <c r="E543" s="24" t="str">
        <f>E542</f>
        <v>40-80</v>
      </c>
      <c r="F543" s="39" t="s">
        <v>585</v>
      </c>
      <c r="G543" s="24" t="s">
        <v>585</v>
      </c>
      <c r="H543" s="136"/>
      <c r="I543" s="149"/>
      <c r="J543" s="136"/>
      <c r="K543" s="136"/>
      <c r="L543" s="139">
        <v>1</v>
      </c>
      <c r="M543" s="139">
        <v>1</v>
      </c>
      <c r="N543" s="136">
        <f>L543*M543*$N$2</f>
        <v>3135</v>
      </c>
      <c r="O543" s="11"/>
      <c r="P543" s="136"/>
      <c r="Q543" s="140"/>
      <c r="R543" s="136"/>
      <c r="S543" s="136"/>
      <c r="T543" s="136"/>
      <c r="U543" s="136">
        <f t="shared" si="136"/>
        <v>3135</v>
      </c>
    </row>
    <row r="544" spans="1:21" s="5" customFormat="1" ht="15.75" outlineLevel="1">
      <c r="A544" s="1" t="s">
        <v>957</v>
      </c>
      <c r="B544" s="172"/>
      <c r="C544" s="2"/>
      <c r="D544" s="19"/>
      <c r="E544" s="44"/>
      <c r="F544" s="51"/>
      <c r="G544" s="2"/>
      <c r="H544" s="137">
        <f aca="true" t="shared" si="137" ref="H544:U544">SUBTOTAL(9,H538:H543)</f>
        <v>310.6037088</v>
      </c>
      <c r="I544" s="144">
        <f t="shared" si="137"/>
        <v>316</v>
      </c>
      <c r="J544" s="137">
        <f t="shared" si="137"/>
        <v>25.28</v>
      </c>
      <c r="K544" s="137">
        <f t="shared" si="137"/>
        <v>180</v>
      </c>
      <c r="L544" s="141">
        <f t="shared" si="137"/>
        <v>1</v>
      </c>
      <c r="M544" s="141">
        <f t="shared" si="137"/>
        <v>1</v>
      </c>
      <c r="N544" s="137">
        <f t="shared" si="137"/>
        <v>3135</v>
      </c>
      <c r="O544" s="45">
        <f t="shared" si="137"/>
        <v>0</v>
      </c>
      <c r="P544" s="137">
        <f t="shared" si="137"/>
        <v>0</v>
      </c>
      <c r="Q544" s="167">
        <f t="shared" si="137"/>
        <v>0</v>
      </c>
      <c r="R544" s="137">
        <f t="shared" si="137"/>
        <v>0</v>
      </c>
      <c r="S544" s="137">
        <f t="shared" si="137"/>
        <v>0</v>
      </c>
      <c r="T544" s="137">
        <f t="shared" si="137"/>
        <v>0</v>
      </c>
      <c r="U544" s="137">
        <f t="shared" si="137"/>
        <v>3650.8837088</v>
      </c>
    </row>
    <row r="545" spans="1:21" ht="15" outlineLevel="2">
      <c r="A545" s="6" t="s">
        <v>524</v>
      </c>
      <c r="B545" s="7" t="s">
        <v>73</v>
      </c>
      <c r="C545" s="7" t="s">
        <v>74</v>
      </c>
      <c r="D545" s="8" t="s">
        <v>523</v>
      </c>
      <c r="E545" s="42" t="s">
        <v>139</v>
      </c>
      <c r="F545" s="39" t="s">
        <v>53</v>
      </c>
      <c r="G545" s="24" t="s">
        <v>63</v>
      </c>
      <c r="H545" s="136">
        <v>23.69836</v>
      </c>
      <c r="I545" s="149">
        <v>7</v>
      </c>
      <c r="J545" s="136">
        <f>I545*$J$2</f>
        <v>0.42</v>
      </c>
      <c r="K545" s="136">
        <v>75</v>
      </c>
      <c r="L545" s="139"/>
      <c r="M545" s="139"/>
      <c r="N545" s="136"/>
      <c r="O545" s="11"/>
      <c r="P545" s="136"/>
      <c r="Q545" s="140"/>
      <c r="R545" s="136"/>
      <c r="S545" s="136"/>
      <c r="T545" s="136"/>
      <c r="U545" s="136">
        <f>H545+J545+K545+N545+P545+R545+S545+T545</f>
        <v>99.11836</v>
      </c>
    </row>
    <row r="546" spans="1:21" ht="15" outlineLevel="2">
      <c r="A546" s="6" t="s">
        <v>524</v>
      </c>
      <c r="B546" s="7" t="s">
        <v>73</v>
      </c>
      <c r="C546" s="7" t="s">
        <v>74</v>
      </c>
      <c r="D546" s="8" t="s">
        <v>523</v>
      </c>
      <c r="E546" s="42" t="s">
        <v>139</v>
      </c>
      <c r="F546" s="39" t="s">
        <v>53</v>
      </c>
      <c r="G546" s="11" t="s">
        <v>66</v>
      </c>
      <c r="H546" s="136">
        <v>1.0894954</v>
      </c>
      <c r="I546" s="140">
        <v>1</v>
      </c>
      <c r="J546" s="136">
        <f>I546*$J$2</f>
        <v>0.06</v>
      </c>
      <c r="K546" s="136">
        <v>15</v>
      </c>
      <c r="L546" s="139"/>
      <c r="M546" s="139"/>
      <c r="N546" s="136"/>
      <c r="O546" s="11"/>
      <c r="P546" s="136"/>
      <c r="Q546" s="140"/>
      <c r="R546" s="136"/>
      <c r="S546" s="136"/>
      <c r="T546" s="136"/>
      <c r="U546" s="136">
        <f>H546+J546+K546+N546+P546+R546+S546+T546</f>
        <v>16.1494954</v>
      </c>
    </row>
    <row r="547" spans="1:21" ht="15" outlineLevel="2">
      <c r="A547" s="6" t="str">
        <f>A546</f>
        <v>M853</v>
      </c>
      <c r="B547" s="11" t="str">
        <f>B546</f>
        <v>DOH-ICS</v>
      </c>
      <c r="C547" s="11" t="str">
        <f>C546</f>
        <v>INTEGRATED CLINICAL SERVICES</v>
      </c>
      <c r="D547" s="13" t="str">
        <f>D546</f>
        <v>408300</v>
      </c>
      <c r="E547" s="24" t="str">
        <f>E546</f>
        <v>40-80</v>
      </c>
      <c r="F547" s="39" t="s">
        <v>585</v>
      </c>
      <c r="G547" s="24" t="s">
        <v>585</v>
      </c>
      <c r="H547" s="136"/>
      <c r="I547" s="140"/>
      <c r="J547" s="136"/>
      <c r="K547" s="136"/>
      <c r="L547" s="139">
        <v>6</v>
      </c>
      <c r="M547" s="139">
        <v>1</v>
      </c>
      <c r="N547" s="136">
        <f>L547*M547*$N$2</f>
        <v>18810</v>
      </c>
      <c r="O547" s="11"/>
      <c r="P547" s="136"/>
      <c r="Q547" s="140"/>
      <c r="R547" s="136"/>
      <c r="S547" s="136"/>
      <c r="T547" s="136"/>
      <c r="U547" s="136">
        <f>H547+J547+K547+N547+P547+R547+S547+T547</f>
        <v>18810</v>
      </c>
    </row>
    <row r="548" spans="1:21" ht="15" outlineLevel="2">
      <c r="A548" s="6" t="str">
        <f>A546</f>
        <v>M853</v>
      </c>
      <c r="B548" s="11" t="str">
        <f>B546</f>
        <v>DOH-ICS</v>
      </c>
      <c r="C548" s="11" t="str">
        <f>C546</f>
        <v>INTEGRATED CLINICAL SERVICES</v>
      </c>
      <c r="D548" s="13" t="str">
        <f>D546</f>
        <v>408300</v>
      </c>
      <c r="E548" s="24" t="str">
        <f>E546</f>
        <v>40-80</v>
      </c>
      <c r="F548" s="39" t="s">
        <v>615</v>
      </c>
      <c r="G548" s="24" t="s">
        <v>615</v>
      </c>
      <c r="H548" s="136"/>
      <c r="I548" s="140"/>
      <c r="J548" s="136"/>
      <c r="K548" s="136"/>
      <c r="L548" s="139"/>
      <c r="M548" s="139"/>
      <c r="N548" s="136"/>
      <c r="O548" s="34">
        <v>1</v>
      </c>
      <c r="P548" s="136">
        <f>O548*$P$2</f>
        <v>72</v>
      </c>
      <c r="Q548" s="140"/>
      <c r="R548" s="136"/>
      <c r="S548" s="136"/>
      <c r="T548" s="136"/>
      <c r="U548" s="136">
        <f>H548+J548+K548+N548+P548+R548+S548+T548</f>
        <v>72</v>
      </c>
    </row>
    <row r="549" spans="1:21" s="5" customFormat="1" ht="15.75" outlineLevel="1">
      <c r="A549" s="1" t="s">
        <v>958</v>
      </c>
      <c r="B549" s="172"/>
      <c r="C549" s="2"/>
      <c r="D549" s="19"/>
      <c r="E549" s="44"/>
      <c r="F549" s="51"/>
      <c r="G549" s="2"/>
      <c r="H549" s="137">
        <f aca="true" t="shared" si="138" ref="H549:U549">SUBTOTAL(9,H545:H548)</f>
        <v>24.7878554</v>
      </c>
      <c r="I549" s="144">
        <f t="shared" si="138"/>
        <v>8</v>
      </c>
      <c r="J549" s="137">
        <f t="shared" si="138"/>
        <v>0.48</v>
      </c>
      <c r="K549" s="137">
        <f t="shared" si="138"/>
        <v>90</v>
      </c>
      <c r="L549" s="141">
        <f t="shared" si="138"/>
        <v>6</v>
      </c>
      <c r="M549" s="141">
        <f t="shared" si="138"/>
        <v>1</v>
      </c>
      <c r="N549" s="137">
        <f t="shared" si="138"/>
        <v>18810</v>
      </c>
      <c r="O549" s="45">
        <f t="shared" si="138"/>
        <v>1</v>
      </c>
      <c r="P549" s="137">
        <f t="shared" si="138"/>
        <v>72</v>
      </c>
      <c r="Q549" s="167">
        <f t="shared" si="138"/>
        <v>0</v>
      </c>
      <c r="R549" s="137">
        <f t="shared" si="138"/>
        <v>0</v>
      </c>
      <c r="S549" s="137">
        <f t="shared" si="138"/>
        <v>0</v>
      </c>
      <c r="T549" s="137">
        <f t="shared" si="138"/>
        <v>0</v>
      </c>
      <c r="U549" s="137">
        <f t="shared" si="138"/>
        <v>18997.2678554</v>
      </c>
    </row>
    <row r="550" spans="1:21" ht="15" outlineLevel="2">
      <c r="A550" s="6" t="s">
        <v>525</v>
      </c>
      <c r="B550" s="7" t="s">
        <v>68</v>
      </c>
      <c r="C550" s="7" t="s">
        <v>108</v>
      </c>
      <c r="D550" s="8" t="s">
        <v>526</v>
      </c>
      <c r="E550" s="42" t="s">
        <v>110</v>
      </c>
      <c r="F550" s="39" t="s">
        <v>53</v>
      </c>
      <c r="G550" s="24" t="s">
        <v>62</v>
      </c>
      <c r="H550" s="136">
        <v>203.94640839999994</v>
      </c>
      <c r="I550" s="149">
        <v>606</v>
      </c>
      <c r="J550" s="136">
        <f>I550*$J$1</f>
        <v>60.6</v>
      </c>
      <c r="K550" s="136">
        <v>15</v>
      </c>
      <c r="L550" s="139"/>
      <c r="M550" s="139"/>
      <c r="N550" s="136"/>
      <c r="O550" s="11"/>
      <c r="P550" s="136"/>
      <c r="Q550" s="140"/>
      <c r="R550" s="136"/>
      <c r="S550" s="136"/>
      <c r="T550" s="136"/>
      <c r="U550" s="136">
        <f aca="true" t="shared" si="139" ref="U550:U558">H550+J550+K550+N550+P550+R550+S550+T550</f>
        <v>279.54640839999996</v>
      </c>
    </row>
    <row r="551" spans="1:21" ht="15" outlineLevel="2">
      <c r="A551" s="6" t="s">
        <v>525</v>
      </c>
      <c r="B551" s="7" t="s">
        <v>68</v>
      </c>
      <c r="C551" s="7" t="s">
        <v>108</v>
      </c>
      <c r="D551" s="8" t="s">
        <v>526</v>
      </c>
      <c r="E551" s="42" t="s">
        <v>110</v>
      </c>
      <c r="F551" s="39" t="s">
        <v>53</v>
      </c>
      <c r="G551" s="24" t="s">
        <v>63</v>
      </c>
      <c r="H551" s="136">
        <v>526.9519094</v>
      </c>
      <c r="I551" s="149">
        <v>165</v>
      </c>
      <c r="J551" s="136">
        <f>I551*$J$2</f>
        <v>9.9</v>
      </c>
      <c r="K551" s="136">
        <v>0</v>
      </c>
      <c r="L551" s="139"/>
      <c r="M551" s="139"/>
      <c r="N551" s="136"/>
      <c r="O551" s="11"/>
      <c r="P551" s="136"/>
      <c r="Q551" s="140"/>
      <c r="R551" s="136"/>
      <c r="S551" s="136"/>
      <c r="T551" s="136"/>
      <c r="U551" s="136">
        <f t="shared" si="139"/>
        <v>536.8519094</v>
      </c>
    </row>
    <row r="552" spans="1:21" ht="15" outlineLevel="2">
      <c r="A552" s="6" t="s">
        <v>525</v>
      </c>
      <c r="B552" s="7" t="s">
        <v>68</v>
      </c>
      <c r="C552" s="7" t="s">
        <v>108</v>
      </c>
      <c r="D552" s="8" t="s">
        <v>526</v>
      </c>
      <c r="E552" s="42" t="s">
        <v>110</v>
      </c>
      <c r="F552" s="39" t="s">
        <v>53</v>
      </c>
      <c r="G552" s="24" t="s">
        <v>64</v>
      </c>
      <c r="H552" s="136">
        <v>406.82009899999997</v>
      </c>
      <c r="I552" s="149">
        <v>283</v>
      </c>
      <c r="J552" s="136">
        <f>I552*$J$2</f>
        <v>16.98</v>
      </c>
      <c r="K552" s="136">
        <v>15</v>
      </c>
      <c r="L552" s="139"/>
      <c r="M552" s="139"/>
      <c r="N552" s="136"/>
      <c r="O552" s="11"/>
      <c r="P552" s="136"/>
      <c r="Q552" s="140"/>
      <c r="R552" s="136"/>
      <c r="S552" s="136"/>
      <c r="T552" s="136"/>
      <c r="U552" s="136">
        <f t="shared" si="139"/>
        <v>438.800099</v>
      </c>
    </row>
    <row r="553" spans="1:21" ht="15" outlineLevel="2">
      <c r="A553" s="6" t="s">
        <v>525</v>
      </c>
      <c r="B553" s="7" t="s">
        <v>68</v>
      </c>
      <c r="C553" s="7" t="s">
        <v>108</v>
      </c>
      <c r="D553" s="8" t="s">
        <v>526</v>
      </c>
      <c r="E553" s="42" t="s">
        <v>110</v>
      </c>
      <c r="F553" s="39" t="s">
        <v>53</v>
      </c>
      <c r="G553" s="24" t="s">
        <v>65</v>
      </c>
      <c r="H553" s="136">
        <v>526.035433</v>
      </c>
      <c r="I553" s="149">
        <v>1161</v>
      </c>
      <c r="J553" s="136">
        <f>I553*$J$2</f>
        <v>69.66</v>
      </c>
      <c r="K553" s="136">
        <v>105</v>
      </c>
      <c r="L553" s="139"/>
      <c r="M553" s="139"/>
      <c r="N553" s="136"/>
      <c r="O553" s="11"/>
      <c r="P553" s="136"/>
      <c r="Q553" s="140"/>
      <c r="R553" s="136"/>
      <c r="S553" s="136"/>
      <c r="T553" s="136"/>
      <c r="U553" s="136">
        <f t="shared" si="139"/>
        <v>700.695433</v>
      </c>
    </row>
    <row r="554" spans="1:21" ht="15" outlineLevel="2">
      <c r="A554" s="6" t="s">
        <v>525</v>
      </c>
      <c r="B554" s="7" t="s">
        <v>68</v>
      </c>
      <c r="C554" s="7" t="s">
        <v>108</v>
      </c>
      <c r="D554" s="8" t="s">
        <v>526</v>
      </c>
      <c r="E554" s="42" t="s">
        <v>110</v>
      </c>
      <c r="F554" s="39" t="s">
        <v>53</v>
      </c>
      <c r="G554" s="24" t="s">
        <v>66</v>
      </c>
      <c r="H554" s="136">
        <v>117.8175502</v>
      </c>
      <c r="I554" s="149">
        <v>130</v>
      </c>
      <c r="J554" s="136">
        <f>I554*$J$2</f>
        <v>7.8</v>
      </c>
      <c r="K554" s="136">
        <v>45</v>
      </c>
      <c r="L554" s="139"/>
      <c r="M554" s="139"/>
      <c r="N554" s="136"/>
      <c r="O554" s="11"/>
      <c r="P554" s="136"/>
      <c r="Q554" s="140"/>
      <c r="R554" s="136"/>
      <c r="S554" s="136"/>
      <c r="T554" s="136"/>
      <c r="U554" s="136">
        <f t="shared" si="139"/>
        <v>170.61755019999998</v>
      </c>
    </row>
    <row r="555" spans="1:21" ht="15" outlineLevel="2">
      <c r="A555" s="6" t="str">
        <f>A554</f>
        <v>M854</v>
      </c>
      <c r="B555" s="11" t="str">
        <f>B554</f>
        <v>DOH</v>
      </c>
      <c r="C555" s="11" t="str">
        <f>C554</f>
        <v>BUSINESS &amp; QUALITY</v>
      </c>
      <c r="D555" s="13" t="str">
        <f>D554</f>
        <v>409001</v>
      </c>
      <c r="E555" s="24" t="str">
        <f>E554</f>
        <v>40-90</v>
      </c>
      <c r="F555" s="39" t="s">
        <v>585</v>
      </c>
      <c r="G555" s="24" t="s">
        <v>585</v>
      </c>
      <c r="H555" s="136"/>
      <c r="I555" s="149"/>
      <c r="J555" s="136"/>
      <c r="K555" s="136"/>
      <c r="L555" s="139">
        <v>2.5</v>
      </c>
      <c r="M555" s="139">
        <v>0.2</v>
      </c>
      <c r="N555" s="136">
        <f>L555*M555*$N$2</f>
        <v>1567.5</v>
      </c>
      <c r="O555" s="11"/>
      <c r="P555" s="136"/>
      <c r="Q555" s="140"/>
      <c r="R555" s="136"/>
      <c r="S555" s="136"/>
      <c r="T555" s="136"/>
      <c r="U555" s="136">
        <f t="shared" si="139"/>
        <v>1567.5</v>
      </c>
    </row>
    <row r="556" spans="1:21" ht="15" outlineLevel="2">
      <c r="A556" s="28" t="s">
        <v>525</v>
      </c>
      <c r="B556" s="11" t="str">
        <f aca="true" t="shared" si="140" ref="B556:E557">B555</f>
        <v>DOH</v>
      </c>
      <c r="C556" s="11" t="str">
        <f t="shared" si="140"/>
        <v>BUSINESS &amp; QUALITY</v>
      </c>
      <c r="D556" s="13" t="str">
        <f t="shared" si="140"/>
        <v>409001</v>
      </c>
      <c r="E556" s="38" t="str">
        <f t="shared" si="140"/>
        <v>40-90</v>
      </c>
      <c r="F556" s="20" t="s">
        <v>615</v>
      </c>
      <c r="G556" s="11" t="s">
        <v>615</v>
      </c>
      <c r="H556" s="136"/>
      <c r="I556" s="140"/>
      <c r="J556" s="136"/>
      <c r="K556" s="136"/>
      <c r="L556" s="139"/>
      <c r="M556" s="139"/>
      <c r="N556" s="136"/>
      <c r="O556" s="29">
        <f>2+0.75+0.25</f>
        <v>3</v>
      </c>
      <c r="P556" s="136">
        <f>O556*$P$2</f>
        <v>216</v>
      </c>
      <c r="Q556" s="140"/>
      <c r="R556" s="136"/>
      <c r="S556" s="136"/>
      <c r="T556" s="136"/>
      <c r="U556" s="136">
        <f t="shared" si="139"/>
        <v>216</v>
      </c>
    </row>
    <row r="557" spans="1:21" ht="15" outlineLevel="2">
      <c r="A557" s="36" t="s">
        <v>680</v>
      </c>
      <c r="B557" s="11" t="str">
        <f t="shared" si="140"/>
        <v>DOH</v>
      </c>
      <c r="C557" s="11" t="str">
        <f t="shared" si="140"/>
        <v>BUSINESS &amp; QUALITY</v>
      </c>
      <c r="D557" s="13" t="str">
        <f t="shared" si="140"/>
        <v>409001</v>
      </c>
      <c r="E557" s="27" t="str">
        <f t="shared" si="140"/>
        <v>40-90</v>
      </c>
      <c r="F557" s="20" t="s">
        <v>683</v>
      </c>
      <c r="G557" s="11" t="s">
        <v>683</v>
      </c>
      <c r="H557" s="136"/>
      <c r="I557" s="140"/>
      <c r="J557" s="136"/>
      <c r="K557" s="136"/>
      <c r="L557" s="139"/>
      <c r="M557" s="139"/>
      <c r="N557" s="136"/>
      <c r="O557" s="34"/>
      <c r="P557" s="136"/>
      <c r="Q557" s="140"/>
      <c r="R557" s="136"/>
      <c r="S557" s="136"/>
      <c r="T557" s="150">
        <f>17.1+32.44</f>
        <v>49.54</v>
      </c>
      <c r="U557" s="136">
        <f t="shared" si="139"/>
        <v>49.54</v>
      </c>
    </row>
    <row r="558" spans="1:21" ht="15" outlineLevel="2">
      <c r="A558" s="36" t="s">
        <v>680</v>
      </c>
      <c r="B558" s="11" t="str">
        <f>B556</f>
        <v>DOH</v>
      </c>
      <c r="C558" s="11" t="str">
        <f>C556</f>
        <v>BUSINESS &amp; QUALITY</v>
      </c>
      <c r="D558" s="13" t="str">
        <f>D556</f>
        <v>409001</v>
      </c>
      <c r="E558" s="27" t="str">
        <f>E556</f>
        <v>40-90</v>
      </c>
      <c r="F558" s="20" t="s">
        <v>53</v>
      </c>
      <c r="G558" s="11" t="s">
        <v>684</v>
      </c>
      <c r="H558" s="136"/>
      <c r="I558" s="140"/>
      <c r="J558" s="136"/>
      <c r="K558" s="136"/>
      <c r="L558" s="139"/>
      <c r="M558" s="139"/>
      <c r="N558" s="136"/>
      <c r="O558" s="34"/>
      <c r="P558" s="136"/>
      <c r="Q558" s="140"/>
      <c r="R558" s="136">
        <v>93.54</v>
      </c>
      <c r="S558" s="136"/>
      <c r="T558" s="150"/>
      <c r="U558" s="136">
        <f t="shared" si="139"/>
        <v>93.54</v>
      </c>
    </row>
    <row r="559" spans="1:21" s="5" customFormat="1" ht="15.75" outlineLevel="1">
      <c r="A559" s="1" t="s">
        <v>959</v>
      </c>
      <c r="B559" s="172"/>
      <c r="C559" s="2"/>
      <c r="D559" s="19"/>
      <c r="E559" s="44"/>
      <c r="F559" s="51"/>
      <c r="G559" s="2"/>
      <c r="H559" s="137">
        <f aca="true" t="shared" si="141" ref="H559:U559">SUBTOTAL(9,H550:H558)</f>
        <v>1781.5713999999998</v>
      </c>
      <c r="I559" s="144">
        <f t="shared" si="141"/>
        <v>2345</v>
      </c>
      <c r="J559" s="137">
        <f t="shared" si="141"/>
        <v>164.94</v>
      </c>
      <c r="K559" s="137">
        <f t="shared" si="141"/>
        <v>180</v>
      </c>
      <c r="L559" s="141">
        <f t="shared" si="141"/>
        <v>2.5</v>
      </c>
      <c r="M559" s="141">
        <f t="shared" si="141"/>
        <v>0.2</v>
      </c>
      <c r="N559" s="137">
        <f t="shared" si="141"/>
        <v>1567.5</v>
      </c>
      <c r="O559" s="45">
        <f t="shared" si="141"/>
        <v>3</v>
      </c>
      <c r="P559" s="137">
        <f t="shared" si="141"/>
        <v>216</v>
      </c>
      <c r="Q559" s="167">
        <f t="shared" si="141"/>
        <v>0</v>
      </c>
      <c r="R559" s="137">
        <f t="shared" si="141"/>
        <v>93.54</v>
      </c>
      <c r="S559" s="137">
        <f t="shared" si="141"/>
        <v>0</v>
      </c>
      <c r="T559" s="137">
        <f t="shared" si="141"/>
        <v>49.54</v>
      </c>
      <c r="U559" s="137">
        <f t="shared" si="141"/>
        <v>4053.0914</v>
      </c>
    </row>
    <row r="560" spans="1:21" ht="15" outlineLevel="2">
      <c r="A560" s="9" t="s">
        <v>27</v>
      </c>
      <c r="B560" s="25" t="s">
        <v>68</v>
      </c>
      <c r="C560" s="16" t="s">
        <v>108</v>
      </c>
      <c r="D560" s="13">
        <v>409001</v>
      </c>
      <c r="E560" s="27" t="s">
        <v>110</v>
      </c>
      <c r="F560" s="20" t="s">
        <v>585</v>
      </c>
      <c r="G560" s="27" t="s">
        <v>585</v>
      </c>
      <c r="H560" s="136"/>
      <c r="I560" s="140"/>
      <c r="J560" s="136"/>
      <c r="K560" s="136"/>
      <c r="L560" s="139">
        <v>2.5</v>
      </c>
      <c r="M560" s="139">
        <v>0.2</v>
      </c>
      <c r="N560" s="136">
        <f>L560*M560*$N$2</f>
        <v>1567.5</v>
      </c>
      <c r="O560" s="11"/>
      <c r="P560" s="136"/>
      <c r="Q560" s="140"/>
      <c r="R560" s="136"/>
      <c r="S560" s="136"/>
      <c r="T560" s="136"/>
      <c r="U560" s="136">
        <f>H560+J560+K560+N560+P560+R560+S560+T560</f>
        <v>1567.5</v>
      </c>
    </row>
    <row r="561" spans="1:21" s="5" customFormat="1" ht="15.75" outlineLevel="1">
      <c r="A561" s="1" t="s">
        <v>960</v>
      </c>
      <c r="B561" s="172"/>
      <c r="C561" s="2"/>
      <c r="D561" s="19"/>
      <c r="E561" s="44"/>
      <c r="F561" s="51"/>
      <c r="G561" s="2"/>
      <c r="H561" s="137">
        <f aca="true" t="shared" si="142" ref="H561:U561">SUBTOTAL(9,H560:H560)</f>
        <v>0</v>
      </c>
      <c r="I561" s="144">
        <f t="shared" si="142"/>
        <v>0</v>
      </c>
      <c r="J561" s="137">
        <f t="shared" si="142"/>
        <v>0</v>
      </c>
      <c r="K561" s="137">
        <f t="shared" si="142"/>
        <v>0</v>
      </c>
      <c r="L561" s="141">
        <f t="shared" si="142"/>
        <v>2.5</v>
      </c>
      <c r="M561" s="141">
        <f t="shared" si="142"/>
        <v>0.2</v>
      </c>
      <c r="N561" s="137">
        <f t="shared" si="142"/>
        <v>1567.5</v>
      </c>
      <c r="O561" s="45">
        <f t="shared" si="142"/>
        <v>0</v>
      </c>
      <c r="P561" s="137">
        <f t="shared" si="142"/>
        <v>0</v>
      </c>
      <c r="Q561" s="167">
        <f t="shared" si="142"/>
        <v>0</v>
      </c>
      <c r="R561" s="137">
        <f t="shared" si="142"/>
        <v>0</v>
      </c>
      <c r="S561" s="137">
        <f t="shared" si="142"/>
        <v>0</v>
      </c>
      <c r="T561" s="137">
        <f t="shared" si="142"/>
        <v>0</v>
      </c>
      <c r="U561" s="137">
        <f t="shared" si="142"/>
        <v>1567.5</v>
      </c>
    </row>
    <row r="562" spans="1:21" ht="15" outlineLevel="2">
      <c r="A562" s="6" t="s">
        <v>571</v>
      </c>
      <c r="B562" s="7" t="s">
        <v>92</v>
      </c>
      <c r="C562" s="7" t="s">
        <v>252</v>
      </c>
      <c r="D562" s="8" t="s">
        <v>572</v>
      </c>
      <c r="E562" s="42" t="s">
        <v>355</v>
      </c>
      <c r="F562" s="39" t="s">
        <v>53</v>
      </c>
      <c r="G562" s="24" t="s">
        <v>62</v>
      </c>
      <c r="H562" s="136">
        <v>23.873476199999995</v>
      </c>
      <c r="I562" s="149">
        <v>71</v>
      </c>
      <c r="J562" s="136">
        <f>I562*$J$1</f>
        <v>7.1000000000000005</v>
      </c>
      <c r="K562" s="136">
        <v>30</v>
      </c>
      <c r="L562" s="139"/>
      <c r="M562" s="139"/>
      <c r="N562" s="136"/>
      <c r="O562" s="11"/>
      <c r="P562" s="136"/>
      <c r="Q562" s="140"/>
      <c r="R562" s="136"/>
      <c r="S562" s="136"/>
      <c r="T562" s="136"/>
      <c r="U562" s="136">
        <f aca="true" t="shared" si="143" ref="U562:U568">H562+J562+K562+N562+P562+R562+S562+T562</f>
        <v>60.97347619999999</v>
      </c>
    </row>
    <row r="563" spans="1:21" ht="15" outlineLevel="2">
      <c r="A563" s="6" t="s">
        <v>571</v>
      </c>
      <c r="B563" s="7" t="s">
        <v>92</v>
      </c>
      <c r="C563" s="7" t="s">
        <v>252</v>
      </c>
      <c r="D563" s="8" t="s">
        <v>572</v>
      </c>
      <c r="E563" s="42" t="s">
        <v>355</v>
      </c>
      <c r="F563" s="39" t="s">
        <v>53</v>
      </c>
      <c r="G563" s="24" t="s">
        <v>63</v>
      </c>
      <c r="H563" s="136">
        <v>27.52575</v>
      </c>
      <c r="I563" s="149">
        <v>8</v>
      </c>
      <c r="J563" s="136">
        <f>I563*$J$2</f>
        <v>0.48</v>
      </c>
      <c r="K563" s="136">
        <v>0</v>
      </c>
      <c r="L563" s="139"/>
      <c r="M563" s="139"/>
      <c r="N563" s="136"/>
      <c r="O563" s="11"/>
      <c r="P563" s="136"/>
      <c r="Q563" s="140"/>
      <c r="R563" s="136"/>
      <c r="S563" s="136"/>
      <c r="T563" s="136"/>
      <c r="U563" s="136">
        <f t="shared" si="143"/>
        <v>28.00575</v>
      </c>
    </row>
    <row r="564" spans="1:21" ht="15" outlineLevel="2">
      <c r="A564" s="6" t="s">
        <v>571</v>
      </c>
      <c r="B564" s="7" t="s">
        <v>92</v>
      </c>
      <c r="C564" s="7" t="s">
        <v>252</v>
      </c>
      <c r="D564" s="8" t="s">
        <v>572</v>
      </c>
      <c r="E564" s="42" t="s">
        <v>355</v>
      </c>
      <c r="F564" s="39" t="s">
        <v>53</v>
      </c>
      <c r="G564" s="24" t="s">
        <v>64</v>
      </c>
      <c r="H564" s="136">
        <v>25.0971924</v>
      </c>
      <c r="I564" s="149">
        <v>20</v>
      </c>
      <c r="J564" s="136">
        <f>I564*$J$2</f>
        <v>1.2</v>
      </c>
      <c r="K564" s="136">
        <v>15</v>
      </c>
      <c r="L564" s="139"/>
      <c r="M564" s="139"/>
      <c r="N564" s="136"/>
      <c r="O564" s="11"/>
      <c r="P564" s="136"/>
      <c r="Q564" s="140"/>
      <c r="R564" s="136"/>
      <c r="S564" s="136"/>
      <c r="T564" s="136"/>
      <c r="U564" s="136">
        <f t="shared" si="143"/>
        <v>41.2971924</v>
      </c>
    </row>
    <row r="565" spans="1:21" ht="15" outlineLevel="2">
      <c r="A565" s="6" t="s">
        <v>571</v>
      </c>
      <c r="B565" s="7" t="s">
        <v>92</v>
      </c>
      <c r="C565" s="7" t="s">
        <v>252</v>
      </c>
      <c r="D565" s="8" t="s">
        <v>572</v>
      </c>
      <c r="E565" s="42" t="s">
        <v>355</v>
      </c>
      <c r="F565" s="39" t="s">
        <v>53</v>
      </c>
      <c r="G565" s="24" t="s">
        <v>65</v>
      </c>
      <c r="H565" s="136">
        <v>109.400438</v>
      </c>
      <c r="I565" s="149">
        <v>191</v>
      </c>
      <c r="J565" s="136">
        <f>I565*$J$2</f>
        <v>11.459999999999999</v>
      </c>
      <c r="K565" s="136">
        <v>135</v>
      </c>
      <c r="L565" s="139"/>
      <c r="M565" s="139"/>
      <c r="N565" s="136"/>
      <c r="O565" s="11"/>
      <c r="P565" s="136"/>
      <c r="Q565" s="140"/>
      <c r="R565" s="136"/>
      <c r="S565" s="136"/>
      <c r="T565" s="136"/>
      <c r="U565" s="136">
        <f t="shared" si="143"/>
        <v>255.860438</v>
      </c>
    </row>
    <row r="566" spans="1:21" ht="15" outlineLevel="2">
      <c r="A566" s="6" t="s">
        <v>571</v>
      </c>
      <c r="B566" s="7" t="s">
        <v>92</v>
      </c>
      <c r="C566" s="7" t="s">
        <v>252</v>
      </c>
      <c r="D566" s="8" t="s">
        <v>572</v>
      </c>
      <c r="E566" s="42" t="s">
        <v>355</v>
      </c>
      <c r="F566" s="39" t="s">
        <v>53</v>
      </c>
      <c r="G566" s="24" t="s">
        <v>66</v>
      </c>
      <c r="H566" s="136">
        <v>5.1412858</v>
      </c>
      <c r="I566" s="149">
        <v>5</v>
      </c>
      <c r="J566" s="136">
        <f>I566*$J$2</f>
        <v>0.3</v>
      </c>
      <c r="K566" s="136">
        <v>0</v>
      </c>
      <c r="L566" s="139"/>
      <c r="M566" s="139"/>
      <c r="N566" s="136"/>
      <c r="O566" s="11"/>
      <c r="P566" s="136"/>
      <c r="Q566" s="140"/>
      <c r="R566" s="136"/>
      <c r="S566" s="136"/>
      <c r="T566" s="136"/>
      <c r="U566" s="136">
        <f t="shared" si="143"/>
        <v>5.4412858</v>
      </c>
    </row>
    <row r="567" spans="1:21" ht="15" outlineLevel="2">
      <c r="A567" s="6" t="s">
        <v>571</v>
      </c>
      <c r="B567" s="7" t="s">
        <v>92</v>
      </c>
      <c r="C567" s="7" t="s">
        <v>252</v>
      </c>
      <c r="D567" s="8" t="s">
        <v>572</v>
      </c>
      <c r="E567" s="42" t="s">
        <v>355</v>
      </c>
      <c r="F567" s="39" t="s">
        <v>53</v>
      </c>
      <c r="G567" s="11" t="s">
        <v>90</v>
      </c>
      <c r="H567" s="136">
        <v>2.998996</v>
      </c>
      <c r="I567" s="140">
        <v>11</v>
      </c>
      <c r="J567" s="136">
        <f>I567*$J$2</f>
        <v>0.6599999999999999</v>
      </c>
      <c r="K567" s="136">
        <v>0</v>
      </c>
      <c r="L567" s="139"/>
      <c r="M567" s="139"/>
      <c r="N567" s="136"/>
      <c r="O567" s="11"/>
      <c r="P567" s="136"/>
      <c r="Q567" s="140"/>
      <c r="R567" s="136"/>
      <c r="S567" s="136"/>
      <c r="T567" s="136"/>
      <c r="U567" s="136">
        <f t="shared" si="143"/>
        <v>3.658996</v>
      </c>
    </row>
    <row r="568" spans="1:21" ht="15" outlineLevel="2">
      <c r="A568" s="6" t="str">
        <f>A567</f>
        <v>M935</v>
      </c>
      <c r="B568" s="11" t="str">
        <f>B567</f>
        <v>DOH-CHS</v>
      </c>
      <c r="C568" s="11" t="str">
        <f>C567</f>
        <v>COMMUNITY HEALTH SERVICES</v>
      </c>
      <c r="D568" s="13" t="str">
        <f>D567</f>
        <v>404735</v>
      </c>
      <c r="E568" s="24" t="str">
        <f>E567</f>
        <v>40-47</v>
      </c>
      <c r="F568" s="39" t="s">
        <v>585</v>
      </c>
      <c r="G568" s="24" t="s">
        <v>585</v>
      </c>
      <c r="H568" s="136"/>
      <c r="I568" s="140"/>
      <c r="J568" s="136"/>
      <c r="K568" s="136"/>
      <c r="L568" s="139">
        <v>1</v>
      </c>
      <c r="M568" s="139">
        <v>0.25</v>
      </c>
      <c r="N568" s="136">
        <f>L568*M568*$N$2</f>
        <v>783.75</v>
      </c>
      <c r="O568" s="11"/>
      <c r="P568" s="136"/>
      <c r="Q568" s="140"/>
      <c r="R568" s="136"/>
      <c r="S568" s="136"/>
      <c r="T568" s="136"/>
      <c r="U568" s="136">
        <f t="shared" si="143"/>
        <v>783.75</v>
      </c>
    </row>
    <row r="569" spans="1:21" s="5" customFormat="1" ht="15.75" outlineLevel="1">
      <c r="A569" s="1" t="s">
        <v>961</v>
      </c>
      <c r="B569" s="172"/>
      <c r="C569" s="2"/>
      <c r="D569" s="19"/>
      <c r="E569" s="44"/>
      <c r="F569" s="51"/>
      <c r="G569" s="2"/>
      <c r="H569" s="137">
        <f aca="true" t="shared" si="144" ref="H569:U569">SUBTOTAL(9,H562:H568)</f>
        <v>194.03713839999998</v>
      </c>
      <c r="I569" s="144">
        <f t="shared" si="144"/>
        <v>306</v>
      </c>
      <c r="J569" s="137">
        <f t="shared" si="144"/>
        <v>21.2</v>
      </c>
      <c r="K569" s="137">
        <f t="shared" si="144"/>
        <v>180</v>
      </c>
      <c r="L569" s="141">
        <f t="shared" si="144"/>
        <v>1</v>
      </c>
      <c r="M569" s="141">
        <f t="shared" si="144"/>
        <v>0.25</v>
      </c>
      <c r="N569" s="137">
        <f t="shared" si="144"/>
        <v>783.75</v>
      </c>
      <c r="O569" s="45">
        <f t="shared" si="144"/>
        <v>0</v>
      </c>
      <c r="P569" s="137">
        <f t="shared" si="144"/>
        <v>0</v>
      </c>
      <c r="Q569" s="167">
        <f t="shared" si="144"/>
        <v>0</v>
      </c>
      <c r="R569" s="137">
        <f t="shared" si="144"/>
        <v>0</v>
      </c>
      <c r="S569" s="137">
        <f t="shared" si="144"/>
        <v>0</v>
      </c>
      <c r="T569" s="137">
        <f t="shared" si="144"/>
        <v>0</v>
      </c>
      <c r="U569" s="137">
        <f t="shared" si="144"/>
        <v>1178.9871384</v>
      </c>
    </row>
    <row r="570" spans="1:21" ht="15" outlineLevel="2">
      <c r="A570" s="6" t="s">
        <v>576</v>
      </c>
      <c r="B570" s="7" t="s">
        <v>73</v>
      </c>
      <c r="C570" s="7" t="s">
        <v>74</v>
      </c>
      <c r="D570" s="8" t="s">
        <v>577</v>
      </c>
      <c r="E570" s="42" t="s">
        <v>578</v>
      </c>
      <c r="F570" s="39" t="s">
        <v>53</v>
      </c>
      <c r="G570" s="24" t="s">
        <v>62</v>
      </c>
      <c r="H570" s="136">
        <v>36.881359200000006</v>
      </c>
      <c r="I570" s="149">
        <v>111</v>
      </c>
      <c r="J570" s="136">
        <f>I570*$J$1</f>
        <v>11.100000000000001</v>
      </c>
      <c r="K570" s="136">
        <v>150</v>
      </c>
      <c r="L570" s="139"/>
      <c r="M570" s="139"/>
      <c r="N570" s="136"/>
      <c r="O570" s="11"/>
      <c r="P570" s="136"/>
      <c r="Q570" s="140"/>
      <c r="R570" s="136"/>
      <c r="S570" s="136"/>
      <c r="T570" s="136"/>
      <c r="U570" s="136">
        <f aca="true" t="shared" si="145" ref="U570:U575">H570+J570+K570+N570+P570+R570+S570+T570</f>
        <v>197.9813592</v>
      </c>
    </row>
    <row r="571" spans="1:21" ht="15" outlineLevel="2">
      <c r="A571" s="6" t="s">
        <v>576</v>
      </c>
      <c r="B571" s="7" t="s">
        <v>73</v>
      </c>
      <c r="C571" s="7" t="s">
        <v>74</v>
      </c>
      <c r="D571" s="8" t="s">
        <v>577</v>
      </c>
      <c r="E571" s="42" t="s">
        <v>578</v>
      </c>
      <c r="F571" s="39" t="s">
        <v>53</v>
      </c>
      <c r="G571" s="24" t="s">
        <v>63</v>
      </c>
      <c r="H571" s="136">
        <v>31.227308</v>
      </c>
      <c r="I571" s="149">
        <v>10</v>
      </c>
      <c r="J571" s="136">
        <f>I571*$J$2</f>
        <v>0.6</v>
      </c>
      <c r="K571" s="136">
        <v>0</v>
      </c>
      <c r="L571" s="139"/>
      <c r="M571" s="139"/>
      <c r="N571" s="136"/>
      <c r="O571" s="11"/>
      <c r="P571" s="136"/>
      <c r="Q571" s="140"/>
      <c r="R571" s="136"/>
      <c r="S571" s="136"/>
      <c r="T571" s="136"/>
      <c r="U571" s="136">
        <f t="shared" si="145"/>
        <v>31.827308000000002</v>
      </c>
    </row>
    <row r="572" spans="1:21" ht="15" outlineLevel="2">
      <c r="A572" s="6" t="s">
        <v>576</v>
      </c>
      <c r="B572" s="7" t="s">
        <v>73</v>
      </c>
      <c r="C572" s="7" t="s">
        <v>74</v>
      </c>
      <c r="D572" s="8" t="s">
        <v>577</v>
      </c>
      <c r="E572" s="42" t="s">
        <v>578</v>
      </c>
      <c r="F572" s="39" t="s">
        <v>53</v>
      </c>
      <c r="G572" s="24" t="s">
        <v>65</v>
      </c>
      <c r="H572" s="136">
        <v>11.209534</v>
      </c>
      <c r="I572" s="149">
        <v>26</v>
      </c>
      <c r="J572" s="136">
        <f>I572*$J$2</f>
        <v>1.56</v>
      </c>
      <c r="K572" s="136">
        <v>30</v>
      </c>
      <c r="L572" s="139"/>
      <c r="M572" s="139"/>
      <c r="N572" s="136"/>
      <c r="O572" s="11"/>
      <c r="P572" s="136"/>
      <c r="Q572" s="140"/>
      <c r="R572" s="136"/>
      <c r="S572" s="136"/>
      <c r="T572" s="136"/>
      <c r="U572" s="136">
        <f t="shared" si="145"/>
        <v>42.769534</v>
      </c>
    </row>
    <row r="573" spans="1:21" ht="15" outlineLevel="2">
      <c r="A573" s="6" t="s">
        <v>576</v>
      </c>
      <c r="B573" s="7" t="s">
        <v>73</v>
      </c>
      <c r="C573" s="7" t="s">
        <v>74</v>
      </c>
      <c r="D573" s="8" t="s">
        <v>577</v>
      </c>
      <c r="E573" s="42" t="s">
        <v>578</v>
      </c>
      <c r="F573" s="39" t="s">
        <v>53</v>
      </c>
      <c r="G573" s="11" t="s">
        <v>66</v>
      </c>
      <c r="H573" s="136">
        <v>2.0007288</v>
      </c>
      <c r="I573" s="140">
        <v>2</v>
      </c>
      <c r="J573" s="136">
        <f>I573*$J$2</f>
        <v>0.12</v>
      </c>
      <c r="K573" s="136">
        <v>0</v>
      </c>
      <c r="L573" s="139"/>
      <c r="M573" s="139"/>
      <c r="N573" s="136"/>
      <c r="O573" s="11"/>
      <c r="P573" s="136"/>
      <c r="Q573" s="140"/>
      <c r="R573" s="136"/>
      <c r="S573" s="136"/>
      <c r="T573" s="136"/>
      <c r="U573" s="136">
        <f t="shared" si="145"/>
        <v>2.1207288</v>
      </c>
    </row>
    <row r="574" spans="1:21" ht="15" outlineLevel="2">
      <c r="A574" s="6" t="str">
        <f>A573</f>
        <v>M951</v>
      </c>
      <c r="B574" s="11" t="str">
        <f>B573</f>
        <v>DOH-ICS</v>
      </c>
      <c r="C574" s="11" t="str">
        <f>C573</f>
        <v>INTEGRATED CLINICAL SERVICES</v>
      </c>
      <c r="D574" s="13" t="str">
        <f>D573</f>
        <v>405500</v>
      </c>
      <c r="E574" s="24" t="str">
        <f>E573</f>
        <v>40-50</v>
      </c>
      <c r="F574" s="39" t="s">
        <v>585</v>
      </c>
      <c r="G574" s="24" t="s">
        <v>585</v>
      </c>
      <c r="H574" s="136"/>
      <c r="I574" s="140"/>
      <c r="J574" s="136"/>
      <c r="K574" s="136"/>
      <c r="L574" s="139">
        <v>2</v>
      </c>
      <c r="M574" s="139">
        <v>1</v>
      </c>
      <c r="N574" s="136">
        <f>L574*M574*$N$2</f>
        <v>6270</v>
      </c>
      <c r="O574" s="11"/>
      <c r="P574" s="136"/>
      <c r="Q574" s="140"/>
      <c r="R574" s="136"/>
      <c r="S574" s="136"/>
      <c r="T574" s="136"/>
      <c r="U574" s="136">
        <f t="shared" si="145"/>
        <v>6270</v>
      </c>
    </row>
    <row r="575" spans="1:21" ht="15" outlineLevel="2">
      <c r="A575" s="36" t="s">
        <v>576</v>
      </c>
      <c r="B575" s="11" t="str">
        <f>B574</f>
        <v>DOH-ICS</v>
      </c>
      <c r="C575" s="11" t="str">
        <f>C574</f>
        <v>INTEGRATED CLINICAL SERVICES</v>
      </c>
      <c r="D575" s="13" t="str">
        <f>D574</f>
        <v>405500</v>
      </c>
      <c r="E575" s="27" t="str">
        <f>E574</f>
        <v>40-50</v>
      </c>
      <c r="F575" s="20" t="s">
        <v>683</v>
      </c>
      <c r="G575" s="11" t="s">
        <v>683</v>
      </c>
      <c r="H575" s="136"/>
      <c r="I575" s="140"/>
      <c r="J575" s="136"/>
      <c r="K575" s="136"/>
      <c r="L575" s="139"/>
      <c r="M575" s="139"/>
      <c r="N575" s="136"/>
      <c r="O575" s="34"/>
      <c r="P575" s="136"/>
      <c r="Q575" s="140"/>
      <c r="R575" s="136"/>
      <c r="S575" s="136"/>
      <c r="T575" s="150">
        <v>9.26</v>
      </c>
      <c r="U575" s="136">
        <f t="shared" si="145"/>
        <v>9.26</v>
      </c>
    </row>
    <row r="576" spans="1:21" s="5" customFormat="1" ht="15.75" outlineLevel="1">
      <c r="A576" s="1" t="s">
        <v>962</v>
      </c>
      <c r="B576" s="172"/>
      <c r="C576" s="2"/>
      <c r="D576" s="19"/>
      <c r="E576" s="44"/>
      <c r="F576" s="51"/>
      <c r="G576" s="2"/>
      <c r="H576" s="137">
        <f aca="true" t="shared" si="146" ref="H576:U576">SUBTOTAL(9,H570:H575)</f>
        <v>81.31893000000002</v>
      </c>
      <c r="I576" s="144">
        <f t="shared" si="146"/>
        <v>149</v>
      </c>
      <c r="J576" s="137">
        <f t="shared" si="146"/>
        <v>13.38</v>
      </c>
      <c r="K576" s="137">
        <f t="shared" si="146"/>
        <v>180</v>
      </c>
      <c r="L576" s="141">
        <f t="shared" si="146"/>
        <v>2</v>
      </c>
      <c r="M576" s="141">
        <f t="shared" si="146"/>
        <v>1</v>
      </c>
      <c r="N576" s="137">
        <f t="shared" si="146"/>
        <v>6270</v>
      </c>
      <c r="O576" s="45">
        <f t="shared" si="146"/>
        <v>0</v>
      </c>
      <c r="P576" s="137">
        <f t="shared" si="146"/>
        <v>0</v>
      </c>
      <c r="Q576" s="167">
        <f t="shared" si="146"/>
        <v>0</v>
      </c>
      <c r="R576" s="137">
        <f t="shared" si="146"/>
        <v>0</v>
      </c>
      <c r="S576" s="137">
        <f t="shared" si="146"/>
        <v>0</v>
      </c>
      <c r="T576" s="137">
        <f t="shared" si="146"/>
        <v>9.26</v>
      </c>
      <c r="U576" s="137">
        <f t="shared" si="146"/>
        <v>6553.958930000001</v>
      </c>
    </row>
    <row r="577" spans="1:21" ht="15" outlineLevel="2">
      <c r="A577" s="6" t="s">
        <v>579</v>
      </c>
      <c r="B577" s="7" t="s">
        <v>73</v>
      </c>
      <c r="C577" s="7" t="s">
        <v>74</v>
      </c>
      <c r="D577" s="8" t="s">
        <v>580</v>
      </c>
      <c r="E577" s="42" t="s">
        <v>578</v>
      </c>
      <c r="F577" s="39" t="s">
        <v>53</v>
      </c>
      <c r="G577" s="24" t="s">
        <v>62</v>
      </c>
      <c r="H577" s="136">
        <v>0.3271632</v>
      </c>
      <c r="I577" s="149">
        <v>1</v>
      </c>
      <c r="J577" s="136">
        <f>I577*$J$1</f>
        <v>0.1</v>
      </c>
      <c r="K577" s="136">
        <v>15</v>
      </c>
      <c r="L577" s="139"/>
      <c r="M577" s="139"/>
      <c r="N577" s="136"/>
      <c r="O577" s="11"/>
      <c r="P577" s="136"/>
      <c r="Q577" s="140"/>
      <c r="R577" s="136"/>
      <c r="S577" s="136"/>
      <c r="T577" s="136"/>
      <c r="U577" s="136">
        <f aca="true" t="shared" si="147" ref="U577:U582">H577+J577+K577+N577+P577+R577+S577+T577</f>
        <v>15.4271632</v>
      </c>
    </row>
    <row r="578" spans="1:21" ht="15" outlineLevel="2">
      <c r="A578" s="6" t="s">
        <v>579</v>
      </c>
      <c r="B578" s="7" t="s">
        <v>73</v>
      </c>
      <c r="C578" s="7" t="s">
        <v>74</v>
      </c>
      <c r="D578" s="8" t="s">
        <v>580</v>
      </c>
      <c r="E578" s="42" t="s">
        <v>578</v>
      </c>
      <c r="F578" s="39" t="s">
        <v>53</v>
      </c>
      <c r="G578" s="11" t="s">
        <v>63</v>
      </c>
      <c r="H578" s="136">
        <v>7.623321999999999</v>
      </c>
      <c r="I578" s="140">
        <v>3</v>
      </c>
      <c r="J578" s="136">
        <f>I578*$J$2</f>
        <v>0.18</v>
      </c>
      <c r="K578" s="136">
        <v>30</v>
      </c>
      <c r="L578" s="139"/>
      <c r="M578" s="139"/>
      <c r="N578" s="136"/>
      <c r="O578" s="11"/>
      <c r="P578" s="136"/>
      <c r="Q578" s="140"/>
      <c r="R578" s="136"/>
      <c r="S578" s="136"/>
      <c r="T578" s="136"/>
      <c r="U578" s="136">
        <f t="shared" si="147"/>
        <v>37.803322</v>
      </c>
    </row>
    <row r="579" spans="1:21" ht="15" outlineLevel="2">
      <c r="A579" s="6" t="s">
        <v>579</v>
      </c>
      <c r="B579" s="7" t="s">
        <v>73</v>
      </c>
      <c r="C579" s="7" t="s">
        <v>74</v>
      </c>
      <c r="D579" s="8" t="s">
        <v>580</v>
      </c>
      <c r="E579" s="42" t="s">
        <v>578</v>
      </c>
      <c r="F579" s="39" t="s">
        <v>53</v>
      </c>
      <c r="G579" s="11" t="s">
        <v>64</v>
      </c>
      <c r="H579" s="136">
        <v>0.429926</v>
      </c>
      <c r="I579" s="140">
        <v>1</v>
      </c>
      <c r="J579" s="136">
        <f>I579*$J$2</f>
        <v>0.06</v>
      </c>
      <c r="K579" s="136">
        <v>0</v>
      </c>
      <c r="L579" s="139"/>
      <c r="M579" s="139"/>
      <c r="N579" s="136"/>
      <c r="O579" s="11"/>
      <c r="P579" s="136"/>
      <c r="Q579" s="140"/>
      <c r="R579" s="136"/>
      <c r="S579" s="136"/>
      <c r="T579" s="136"/>
      <c r="U579" s="136">
        <f t="shared" si="147"/>
        <v>0.489926</v>
      </c>
    </row>
    <row r="580" spans="1:21" ht="15" outlineLevel="2">
      <c r="A580" s="6" t="s">
        <v>579</v>
      </c>
      <c r="B580" s="7" t="s">
        <v>73</v>
      </c>
      <c r="C580" s="7" t="s">
        <v>74</v>
      </c>
      <c r="D580" s="8" t="s">
        <v>580</v>
      </c>
      <c r="E580" s="42" t="s">
        <v>578</v>
      </c>
      <c r="F580" s="39" t="s">
        <v>53</v>
      </c>
      <c r="G580" s="24" t="s">
        <v>65</v>
      </c>
      <c r="H580" s="136">
        <v>1.73019</v>
      </c>
      <c r="I580" s="149">
        <v>4</v>
      </c>
      <c r="J580" s="136">
        <f>I580*$J$2</f>
        <v>0.24</v>
      </c>
      <c r="K580" s="136">
        <v>45</v>
      </c>
      <c r="L580" s="139"/>
      <c r="M580" s="139"/>
      <c r="N580" s="136"/>
      <c r="O580" s="11"/>
      <c r="P580" s="136"/>
      <c r="Q580" s="140"/>
      <c r="R580" s="136"/>
      <c r="S580" s="136"/>
      <c r="T580" s="136"/>
      <c r="U580" s="136">
        <f t="shared" si="147"/>
        <v>46.97019</v>
      </c>
    </row>
    <row r="581" spans="1:21" ht="15" outlineLevel="2">
      <c r="A581" s="6" t="str">
        <f>A580</f>
        <v>M952</v>
      </c>
      <c r="B581" s="11" t="str">
        <f>B580</f>
        <v>DOH-ICS</v>
      </c>
      <c r="C581" s="11" t="str">
        <f>C580</f>
        <v>INTEGRATED CLINICAL SERVICES</v>
      </c>
      <c r="D581" s="13" t="str">
        <f>D580</f>
        <v>405550</v>
      </c>
      <c r="E581" s="24" t="str">
        <f>E580</f>
        <v>40-50</v>
      </c>
      <c r="F581" s="39" t="s">
        <v>585</v>
      </c>
      <c r="G581" s="24" t="s">
        <v>585</v>
      </c>
      <c r="H581" s="136"/>
      <c r="I581" s="149"/>
      <c r="J581" s="136"/>
      <c r="K581" s="136"/>
      <c r="L581" s="139">
        <v>2</v>
      </c>
      <c r="M581" s="139">
        <v>1</v>
      </c>
      <c r="N581" s="136">
        <f>L581*M581*$N$2</f>
        <v>6270</v>
      </c>
      <c r="O581" s="11"/>
      <c r="P581" s="136"/>
      <c r="Q581" s="140"/>
      <c r="R581" s="136"/>
      <c r="S581" s="136"/>
      <c r="T581" s="136"/>
      <c r="U581" s="136">
        <f t="shared" si="147"/>
        <v>6270</v>
      </c>
    </row>
    <row r="582" spans="1:21" ht="15" outlineLevel="2">
      <c r="A582" s="6" t="str">
        <f>A580</f>
        <v>M952</v>
      </c>
      <c r="B582" s="11" t="str">
        <f>B580</f>
        <v>DOH-ICS</v>
      </c>
      <c r="C582" s="11" t="str">
        <f>C580</f>
        <v>INTEGRATED CLINICAL SERVICES</v>
      </c>
      <c r="D582" s="13" t="str">
        <f>D580</f>
        <v>405550</v>
      </c>
      <c r="E582" s="24" t="str">
        <f>E580</f>
        <v>40-50</v>
      </c>
      <c r="F582" s="39" t="s">
        <v>615</v>
      </c>
      <c r="G582" s="24" t="s">
        <v>615</v>
      </c>
      <c r="H582" s="136"/>
      <c r="I582" s="149"/>
      <c r="J582" s="136"/>
      <c r="K582" s="136"/>
      <c r="L582" s="139"/>
      <c r="M582" s="139"/>
      <c r="N582" s="136"/>
      <c r="O582" s="34">
        <v>0.75</v>
      </c>
      <c r="P582" s="136">
        <f>O582*$P$2</f>
        <v>54</v>
      </c>
      <c r="Q582" s="140"/>
      <c r="R582" s="136"/>
      <c r="S582" s="136"/>
      <c r="T582" s="136"/>
      <c r="U582" s="136">
        <f t="shared" si="147"/>
        <v>54</v>
      </c>
    </row>
    <row r="583" spans="1:21" s="5" customFormat="1" ht="15.75" outlineLevel="1">
      <c r="A583" s="1" t="s">
        <v>963</v>
      </c>
      <c r="B583" s="172"/>
      <c r="C583" s="2"/>
      <c r="D583" s="19"/>
      <c r="E583" s="44"/>
      <c r="F583" s="51"/>
      <c r="G583" s="2"/>
      <c r="H583" s="137">
        <f aca="true" t="shared" si="148" ref="H583:U583">SUBTOTAL(9,H577:H582)</f>
        <v>10.1106012</v>
      </c>
      <c r="I583" s="144">
        <f t="shared" si="148"/>
        <v>9</v>
      </c>
      <c r="J583" s="137">
        <f t="shared" si="148"/>
        <v>0.5800000000000001</v>
      </c>
      <c r="K583" s="137">
        <f t="shared" si="148"/>
        <v>90</v>
      </c>
      <c r="L583" s="141">
        <f t="shared" si="148"/>
        <v>2</v>
      </c>
      <c r="M583" s="141">
        <f t="shared" si="148"/>
        <v>1</v>
      </c>
      <c r="N583" s="137">
        <f t="shared" si="148"/>
        <v>6270</v>
      </c>
      <c r="O583" s="45">
        <f t="shared" si="148"/>
        <v>0.75</v>
      </c>
      <c r="P583" s="137">
        <f t="shared" si="148"/>
        <v>54</v>
      </c>
      <c r="Q583" s="167">
        <f t="shared" si="148"/>
        <v>0</v>
      </c>
      <c r="R583" s="137">
        <f t="shared" si="148"/>
        <v>0</v>
      </c>
      <c r="S583" s="137">
        <f t="shared" si="148"/>
        <v>0</v>
      </c>
      <c r="T583" s="137">
        <f t="shared" si="148"/>
        <v>0</v>
      </c>
      <c r="U583" s="137">
        <f t="shared" si="148"/>
        <v>6424.6906012</v>
      </c>
    </row>
    <row r="584" spans="1:21" ht="15" outlineLevel="2">
      <c r="A584" s="6" t="s">
        <v>581</v>
      </c>
      <c r="B584" s="7" t="s">
        <v>73</v>
      </c>
      <c r="C584" s="7" t="s">
        <v>74</v>
      </c>
      <c r="D584" s="8" t="s">
        <v>582</v>
      </c>
      <c r="E584" s="42" t="s">
        <v>578</v>
      </c>
      <c r="F584" s="39" t="s">
        <v>53</v>
      </c>
      <c r="G584" s="24" t="s">
        <v>62</v>
      </c>
      <c r="H584" s="136">
        <v>120.3960576</v>
      </c>
      <c r="I584" s="149">
        <v>353</v>
      </c>
      <c r="J584" s="136">
        <f>I584*$J$1</f>
        <v>35.300000000000004</v>
      </c>
      <c r="K584" s="136">
        <v>0</v>
      </c>
      <c r="L584" s="139"/>
      <c r="M584" s="139"/>
      <c r="N584" s="136"/>
      <c r="O584" s="11"/>
      <c r="P584" s="136"/>
      <c r="Q584" s="140"/>
      <c r="R584" s="136"/>
      <c r="S584" s="136"/>
      <c r="T584" s="136"/>
      <c r="U584" s="136">
        <f aca="true" t="shared" si="149" ref="U584:U591">H584+J584+K584+N584+P584+R584+S584+T584</f>
        <v>155.69605760000002</v>
      </c>
    </row>
    <row r="585" spans="1:21" ht="15" outlineLevel="2">
      <c r="A585" s="6" t="s">
        <v>581</v>
      </c>
      <c r="B585" s="7" t="s">
        <v>73</v>
      </c>
      <c r="C585" s="7" t="s">
        <v>74</v>
      </c>
      <c r="D585" s="8" t="s">
        <v>582</v>
      </c>
      <c r="E585" s="42" t="s">
        <v>578</v>
      </c>
      <c r="F585" s="39" t="s">
        <v>53</v>
      </c>
      <c r="G585" s="24" t="s">
        <v>63</v>
      </c>
      <c r="H585" s="136">
        <v>779.1685215999998</v>
      </c>
      <c r="I585" s="149">
        <v>222</v>
      </c>
      <c r="J585" s="136">
        <f>I585*$J$2</f>
        <v>13.32</v>
      </c>
      <c r="K585" s="136">
        <v>60</v>
      </c>
      <c r="L585" s="139"/>
      <c r="M585" s="139"/>
      <c r="N585" s="136"/>
      <c r="O585" s="11"/>
      <c r="P585" s="136"/>
      <c r="Q585" s="140"/>
      <c r="R585" s="136"/>
      <c r="S585" s="136"/>
      <c r="T585" s="136"/>
      <c r="U585" s="136">
        <f t="shared" si="149"/>
        <v>852.4885215999999</v>
      </c>
    </row>
    <row r="586" spans="1:21" ht="15" outlineLevel="2">
      <c r="A586" s="6" t="s">
        <v>581</v>
      </c>
      <c r="B586" s="7" t="s">
        <v>73</v>
      </c>
      <c r="C586" s="7" t="s">
        <v>74</v>
      </c>
      <c r="D586" s="8" t="s">
        <v>582</v>
      </c>
      <c r="E586" s="42" t="s">
        <v>578</v>
      </c>
      <c r="F586" s="39" t="s">
        <v>53</v>
      </c>
      <c r="G586" s="24" t="s">
        <v>64</v>
      </c>
      <c r="H586" s="136">
        <v>238.42437639999997</v>
      </c>
      <c r="I586" s="149">
        <v>114</v>
      </c>
      <c r="J586" s="136">
        <f>I586*$J$2</f>
        <v>6.84</v>
      </c>
      <c r="K586" s="136">
        <v>75</v>
      </c>
      <c r="L586" s="139"/>
      <c r="M586" s="139"/>
      <c r="N586" s="136"/>
      <c r="O586" s="11"/>
      <c r="P586" s="136"/>
      <c r="Q586" s="140"/>
      <c r="R586" s="136"/>
      <c r="S586" s="136"/>
      <c r="T586" s="136"/>
      <c r="U586" s="136">
        <f t="shared" si="149"/>
        <v>320.26437639999995</v>
      </c>
    </row>
    <row r="587" spans="1:21" ht="15" outlineLevel="2">
      <c r="A587" s="6" t="s">
        <v>581</v>
      </c>
      <c r="B587" s="7" t="s">
        <v>73</v>
      </c>
      <c r="C587" s="7" t="s">
        <v>74</v>
      </c>
      <c r="D587" s="8" t="s">
        <v>582</v>
      </c>
      <c r="E587" s="42" t="s">
        <v>578</v>
      </c>
      <c r="F587" s="39" t="s">
        <v>53</v>
      </c>
      <c r="G587" s="24" t="s">
        <v>65</v>
      </c>
      <c r="H587" s="136">
        <v>50.364258</v>
      </c>
      <c r="I587" s="149">
        <v>60</v>
      </c>
      <c r="J587" s="136">
        <f>I587*$J$2</f>
        <v>3.5999999999999996</v>
      </c>
      <c r="K587" s="136">
        <v>15</v>
      </c>
      <c r="L587" s="139"/>
      <c r="M587" s="139"/>
      <c r="N587" s="136"/>
      <c r="O587" s="11"/>
      <c r="P587" s="136"/>
      <c r="Q587" s="140"/>
      <c r="R587" s="136"/>
      <c r="S587" s="136"/>
      <c r="T587" s="136"/>
      <c r="U587" s="136">
        <f t="shared" si="149"/>
        <v>68.964258</v>
      </c>
    </row>
    <row r="588" spans="1:21" ht="15" outlineLevel="2">
      <c r="A588" s="6" t="s">
        <v>581</v>
      </c>
      <c r="B588" s="7" t="s">
        <v>73</v>
      </c>
      <c r="C588" s="7" t="s">
        <v>74</v>
      </c>
      <c r="D588" s="8" t="s">
        <v>582</v>
      </c>
      <c r="E588" s="42" t="s">
        <v>578</v>
      </c>
      <c r="F588" s="39" t="s">
        <v>53</v>
      </c>
      <c r="G588" s="24" t="s">
        <v>66</v>
      </c>
      <c r="H588" s="136">
        <v>83.66884259999999</v>
      </c>
      <c r="I588" s="149">
        <v>61</v>
      </c>
      <c r="J588" s="136">
        <f>I588*$J$2</f>
        <v>3.6599999999999997</v>
      </c>
      <c r="K588" s="136">
        <v>30</v>
      </c>
      <c r="L588" s="139"/>
      <c r="M588" s="139"/>
      <c r="N588" s="136"/>
      <c r="O588" s="11"/>
      <c r="P588" s="136"/>
      <c r="Q588" s="140"/>
      <c r="R588" s="136"/>
      <c r="S588" s="136"/>
      <c r="T588" s="136"/>
      <c r="U588" s="136">
        <f t="shared" si="149"/>
        <v>117.32884259999999</v>
      </c>
    </row>
    <row r="589" spans="1:21" ht="15" outlineLevel="2">
      <c r="A589" s="6" t="s">
        <v>581</v>
      </c>
      <c r="B589" s="7" t="s">
        <v>73</v>
      </c>
      <c r="C589" s="7" t="s">
        <v>74</v>
      </c>
      <c r="D589" s="8" t="s">
        <v>582</v>
      </c>
      <c r="E589" s="42" t="s">
        <v>578</v>
      </c>
      <c r="F589" s="39" t="s">
        <v>53</v>
      </c>
      <c r="G589" s="11" t="s">
        <v>90</v>
      </c>
      <c r="H589" s="136">
        <v>7.633808</v>
      </c>
      <c r="I589" s="140">
        <v>28</v>
      </c>
      <c r="J589" s="136">
        <f>I589*$J$2</f>
        <v>1.68</v>
      </c>
      <c r="K589" s="136">
        <v>0</v>
      </c>
      <c r="L589" s="139"/>
      <c r="M589" s="139"/>
      <c r="N589" s="136"/>
      <c r="O589" s="11"/>
      <c r="P589" s="136"/>
      <c r="Q589" s="140"/>
      <c r="R589" s="136"/>
      <c r="S589" s="136"/>
      <c r="T589" s="136"/>
      <c r="U589" s="136">
        <f t="shared" si="149"/>
        <v>9.313808</v>
      </c>
    </row>
    <row r="590" spans="1:21" ht="15" outlineLevel="2">
      <c r="A590" s="28" t="s">
        <v>581</v>
      </c>
      <c r="B590" s="11" t="str">
        <f aca="true" t="shared" si="150" ref="B590:E591">B589</f>
        <v>DOH-ICS</v>
      </c>
      <c r="C590" s="11" t="str">
        <f t="shared" si="150"/>
        <v>INTEGRATED CLINICAL SERVICES</v>
      </c>
      <c r="D590" s="13" t="str">
        <f t="shared" si="150"/>
        <v>405760</v>
      </c>
      <c r="E590" s="38" t="str">
        <f t="shared" si="150"/>
        <v>40-50</v>
      </c>
      <c r="F590" s="20" t="s">
        <v>615</v>
      </c>
      <c r="G590" s="11" t="s">
        <v>615</v>
      </c>
      <c r="H590" s="136"/>
      <c r="I590" s="140"/>
      <c r="J590" s="136"/>
      <c r="K590" s="136"/>
      <c r="L590" s="139"/>
      <c r="M590" s="139"/>
      <c r="N590" s="136"/>
      <c r="O590" s="29">
        <f>3.5+5.5</f>
        <v>9</v>
      </c>
      <c r="P590" s="136">
        <f>O590*$P$2</f>
        <v>648</v>
      </c>
      <c r="Q590" s="140"/>
      <c r="R590" s="136"/>
      <c r="S590" s="136"/>
      <c r="T590" s="136"/>
      <c r="U590" s="136">
        <f t="shared" si="149"/>
        <v>648</v>
      </c>
    </row>
    <row r="591" spans="1:21" ht="15" outlineLevel="2">
      <c r="A591" s="36" t="s">
        <v>682</v>
      </c>
      <c r="B591" s="11" t="str">
        <f t="shared" si="150"/>
        <v>DOH-ICS</v>
      </c>
      <c r="C591" s="11" t="str">
        <f t="shared" si="150"/>
        <v>INTEGRATED CLINICAL SERVICES</v>
      </c>
      <c r="D591" s="13" t="str">
        <f t="shared" si="150"/>
        <v>405760</v>
      </c>
      <c r="E591" s="27" t="str">
        <f t="shared" si="150"/>
        <v>40-50</v>
      </c>
      <c r="F591" s="20" t="s">
        <v>683</v>
      </c>
      <c r="G591" s="11" t="s">
        <v>683</v>
      </c>
      <c r="H591" s="136"/>
      <c r="I591" s="140"/>
      <c r="J591" s="136"/>
      <c r="K591" s="136"/>
      <c r="L591" s="139"/>
      <c r="M591" s="139"/>
      <c r="N591" s="136"/>
      <c r="O591" s="34"/>
      <c r="P591" s="136"/>
      <c r="Q591" s="140"/>
      <c r="R591" s="136"/>
      <c r="S591" s="136"/>
      <c r="T591" s="150">
        <v>11.97</v>
      </c>
      <c r="U591" s="136">
        <f t="shared" si="149"/>
        <v>11.97</v>
      </c>
    </row>
    <row r="592" spans="1:21" s="5" customFormat="1" ht="15.75" outlineLevel="1">
      <c r="A592" s="1" t="s">
        <v>964</v>
      </c>
      <c r="B592" s="172"/>
      <c r="C592" s="2"/>
      <c r="D592" s="19"/>
      <c r="E592" s="44"/>
      <c r="F592" s="51"/>
      <c r="G592" s="2"/>
      <c r="H592" s="137">
        <f aca="true" t="shared" si="151" ref="H592:U592">SUBTOTAL(9,H584:H591)</f>
        <v>1279.6558642</v>
      </c>
      <c r="I592" s="144">
        <f t="shared" si="151"/>
        <v>838</v>
      </c>
      <c r="J592" s="137">
        <f t="shared" si="151"/>
        <v>64.4</v>
      </c>
      <c r="K592" s="137">
        <f t="shared" si="151"/>
        <v>180</v>
      </c>
      <c r="L592" s="141">
        <f t="shared" si="151"/>
        <v>0</v>
      </c>
      <c r="M592" s="141">
        <f t="shared" si="151"/>
        <v>0</v>
      </c>
      <c r="N592" s="137">
        <f t="shared" si="151"/>
        <v>0</v>
      </c>
      <c r="O592" s="45">
        <f t="shared" si="151"/>
        <v>9</v>
      </c>
      <c r="P592" s="137">
        <f t="shared" si="151"/>
        <v>648</v>
      </c>
      <c r="Q592" s="167">
        <f t="shared" si="151"/>
        <v>0</v>
      </c>
      <c r="R592" s="137">
        <f t="shared" si="151"/>
        <v>0</v>
      </c>
      <c r="S592" s="137">
        <f t="shared" si="151"/>
        <v>0</v>
      </c>
      <c r="T592" s="137">
        <f t="shared" si="151"/>
        <v>11.97</v>
      </c>
      <c r="U592" s="137">
        <f t="shared" si="151"/>
        <v>2184.0258641999994</v>
      </c>
    </row>
    <row r="593" spans="1:21" ht="15" outlineLevel="2">
      <c r="A593" s="23" t="s">
        <v>616</v>
      </c>
      <c r="B593" s="25" t="s">
        <v>73</v>
      </c>
      <c r="C593" s="16" t="s">
        <v>74</v>
      </c>
      <c r="D593" s="27">
        <v>408225</v>
      </c>
      <c r="E593" s="27" t="s">
        <v>139</v>
      </c>
      <c r="F593" s="20" t="s">
        <v>615</v>
      </c>
      <c r="G593" s="27" t="s">
        <v>615</v>
      </c>
      <c r="H593" s="152"/>
      <c r="I593" s="159"/>
      <c r="J593" s="152"/>
      <c r="K593" s="152"/>
      <c r="L593" s="154"/>
      <c r="M593" s="154"/>
      <c r="N593" s="152"/>
      <c r="O593" s="35">
        <v>0.75</v>
      </c>
      <c r="P593" s="136">
        <f>O593*$P$2</f>
        <v>54</v>
      </c>
      <c r="Q593" s="153"/>
      <c r="R593" s="136"/>
      <c r="S593" s="152"/>
      <c r="T593" s="152"/>
      <c r="U593" s="136">
        <f>H593+J593+K593+N593+P593+R593+S593+T593</f>
        <v>54</v>
      </c>
    </row>
    <row r="594" ht="15" outlineLevel="2"/>
    <row r="595" ht="15" outlineLevel="2"/>
    <row r="596" ht="15" outlineLevel="2"/>
    <row r="597" ht="15" outlineLevel="2"/>
    <row r="598" ht="15" outlineLevel="2"/>
    <row r="599" ht="15" outlineLevel="2"/>
    <row r="600" ht="15" outlineLevel="2"/>
    <row r="601" ht="15" outlineLevel="2"/>
    <row r="602" ht="15" outlineLevel="2"/>
    <row r="603" ht="15" outlineLevel="2"/>
    <row r="604" ht="15" outlineLevel="2"/>
    <row r="605" ht="15" outlineLevel="2"/>
    <row r="606" ht="15" outlineLevel="2"/>
    <row r="607" ht="15" outlineLevel="2"/>
    <row r="608" ht="15" outlineLevel="2"/>
    <row r="609" ht="15" outlineLevel="2"/>
    <row r="610" ht="15" outlineLevel="2"/>
    <row r="611" ht="15" outlineLevel="2"/>
    <row r="612" ht="15" outlineLevel="2"/>
    <row r="613" ht="15" outlineLevel="2"/>
    <row r="614" ht="15" outlineLevel="2"/>
    <row r="615" ht="15" outlineLevel="2"/>
    <row r="616" ht="15" outlineLevel="2"/>
    <row r="617" ht="15" outlineLevel="2"/>
    <row r="618" ht="15" outlineLevel="2"/>
    <row r="619" ht="15" outlineLevel="2"/>
    <row r="620" ht="15" outlineLevel="2"/>
    <row r="621" ht="15" outlineLevel="2"/>
    <row r="622" ht="15" outlineLevel="2"/>
    <row r="623" ht="15" outlineLevel="2"/>
    <row r="624" ht="15" outlineLevel="2"/>
    <row r="625" ht="15" outlineLevel="2"/>
    <row r="626" ht="15" outlineLevel="2"/>
    <row r="627" ht="15" outlineLevel="2"/>
    <row r="628" ht="15" outlineLevel="2"/>
    <row r="629" ht="15" outlineLevel="2"/>
    <row r="630" ht="15" outlineLevel="2"/>
    <row r="631" ht="15" outlineLevel="2"/>
    <row r="632" ht="15" outlineLevel="2"/>
    <row r="633" ht="15" outlineLevel="2"/>
    <row r="634" ht="15" outlineLevel="2"/>
    <row r="635" ht="15" outlineLevel="2"/>
    <row r="636" ht="15" outlineLevel="2"/>
    <row r="637" ht="15" outlineLevel="2"/>
    <row r="638" ht="15" outlineLevel="2"/>
    <row r="639" ht="15" outlineLevel="2"/>
    <row r="640" ht="15" outlineLevel="2"/>
    <row r="641" ht="15" outlineLevel="2"/>
    <row r="642" ht="15" outlineLevel="2"/>
    <row r="643" ht="15" outlineLevel="2"/>
    <row r="644" ht="15" outlineLevel="2"/>
    <row r="645" ht="15" outlineLevel="2"/>
    <row r="646" ht="15" outlineLevel="2"/>
    <row r="647" ht="15" outlineLevel="2"/>
    <row r="648" ht="15" outlineLevel="2"/>
    <row r="649" ht="15" outlineLevel="2"/>
    <row r="650" ht="15" outlineLevel="2"/>
    <row r="651" ht="15" outlineLevel="2"/>
    <row r="652" ht="15" outlineLevel="2"/>
    <row r="653" ht="15" outlineLevel="2"/>
    <row r="654" ht="15" outlineLevel="2"/>
    <row r="655" ht="15" outlineLevel="2"/>
    <row r="656" ht="15" outlineLevel="2"/>
    <row r="657" ht="15" outlineLevel="2"/>
    <row r="658" ht="15" outlineLevel="2"/>
    <row r="659" ht="15" outlineLevel="2"/>
    <row r="660" ht="15" outlineLevel="2"/>
    <row r="661" ht="15" outlineLevel="2"/>
    <row r="662" ht="15" outlineLevel="2"/>
    <row r="663" ht="15" outlineLevel="2"/>
    <row r="664" ht="15" outlineLevel="2"/>
    <row r="665" ht="15" outlineLevel="2"/>
    <row r="666" ht="15" outlineLevel="2"/>
    <row r="667" ht="15" outlineLevel="2"/>
    <row r="668" ht="15" outlineLevel="2"/>
    <row r="669" ht="15" outlineLevel="2"/>
    <row r="670" ht="15" outlineLevel="2"/>
    <row r="671" ht="15" outlineLevel="2"/>
    <row r="672" ht="15" outlineLevel="2"/>
    <row r="673" ht="15" outlineLevel="2"/>
    <row r="674" ht="15" outlineLevel="2"/>
    <row r="675" ht="15" outlineLevel="2"/>
    <row r="676" ht="15" outlineLevel="2"/>
    <row r="677" ht="15" outlineLevel="2"/>
    <row r="678" ht="15" outlineLevel="2"/>
    <row r="679" ht="15" outlineLevel="2"/>
    <row r="680" ht="15" outlineLevel="2"/>
    <row r="681" ht="15" outlineLevel="2"/>
    <row r="682" ht="15" outlineLevel="2"/>
    <row r="683" ht="15" outlineLevel="2"/>
    <row r="684" ht="15" outlineLevel="2"/>
    <row r="685" ht="15" outlineLevel="2"/>
    <row r="686" ht="15" outlineLevel="2"/>
    <row r="687" ht="15" outlineLevel="2"/>
    <row r="688" ht="15" outlineLevel="2"/>
    <row r="689" ht="15" outlineLevel="2"/>
    <row r="690" ht="15" outlineLevel="2"/>
    <row r="691" ht="15" outlineLevel="2"/>
    <row r="692" ht="15" outlineLevel="2"/>
    <row r="693" ht="15" outlineLevel="2"/>
    <row r="694" ht="15" outlineLevel="2"/>
    <row r="695" ht="15" outlineLevel="2"/>
    <row r="696" ht="15" outlineLevel="2"/>
    <row r="697" ht="15" outlineLevel="2"/>
    <row r="698" ht="15" outlineLevel="2"/>
    <row r="699" ht="15" outlineLevel="2"/>
    <row r="700" ht="15" outlineLevel="2"/>
    <row r="701" ht="15" outlineLevel="2"/>
    <row r="702" ht="15" outlineLevel="2"/>
    <row r="703" ht="15" outlineLevel="2"/>
    <row r="704" ht="15" outlineLevel="2"/>
    <row r="705" ht="15" outlineLevel="2"/>
    <row r="706" ht="15" outlineLevel="2"/>
    <row r="707" ht="15" outlineLevel="2"/>
    <row r="708" ht="15" outlineLevel="2"/>
    <row r="709" ht="15" outlineLevel="2"/>
    <row r="710" ht="15" outlineLevel="2"/>
    <row r="711" ht="15" outlineLevel="2"/>
    <row r="712" ht="15" outlineLevel="2"/>
    <row r="713" ht="15" outlineLevel="2"/>
    <row r="714" ht="15" outlineLevel="2"/>
    <row r="715" ht="15" outlineLevel="2"/>
    <row r="716" ht="15" outlineLevel="2"/>
    <row r="717" ht="15" outlineLevel="2"/>
    <row r="718" ht="15" outlineLevel="2"/>
    <row r="719" ht="15" outlineLevel="2"/>
    <row r="720" ht="15" outlineLevel="2"/>
    <row r="721" ht="15" outlineLevel="2"/>
    <row r="722" ht="15" outlineLevel="2"/>
    <row r="723" ht="15" outlineLevel="2"/>
    <row r="724" ht="15" outlineLevel="2"/>
    <row r="725" ht="15" outlineLevel="2"/>
    <row r="726" ht="15" outlineLevel="2"/>
    <row r="727" ht="15" outlineLevel="2"/>
    <row r="728" ht="15" outlineLevel="2"/>
    <row r="729" ht="15" outlineLevel="2"/>
    <row r="730" ht="15" outlineLevel="2"/>
    <row r="731" ht="15" outlineLevel="2"/>
    <row r="732" ht="15" outlineLevel="2"/>
    <row r="733" ht="15" outlineLevel="2"/>
    <row r="734" ht="15" outlineLevel="2"/>
    <row r="735" ht="15" outlineLevel="2"/>
    <row r="736" ht="15" outlineLevel="2"/>
    <row r="737" ht="15" outlineLevel="2"/>
    <row r="738" ht="15" outlineLevel="2"/>
    <row r="739" ht="15" outlineLevel="2"/>
    <row r="740" ht="15" outlineLevel="2"/>
    <row r="741" ht="15" outlineLevel="2"/>
    <row r="742" ht="15" outlineLevel="2"/>
    <row r="743" ht="15" outlineLevel="2"/>
    <row r="744" ht="15" outlineLevel="2"/>
    <row r="745" ht="15" outlineLevel="2"/>
    <row r="746" ht="15" outlineLevel="2"/>
    <row r="747" ht="15" outlineLevel="2"/>
    <row r="748" ht="15" outlineLevel="2"/>
    <row r="749" ht="15" outlineLevel="2"/>
    <row r="750" ht="15" outlineLevel="2"/>
    <row r="751" ht="15" outlineLevel="2"/>
    <row r="752" ht="15" outlineLevel="2"/>
    <row r="753" ht="15" outlineLevel="2"/>
    <row r="754" ht="15" outlineLevel="2"/>
    <row r="755" ht="15" outlineLevel="2"/>
    <row r="756" ht="15" outlineLevel="2"/>
    <row r="757" ht="15" outlineLevel="2"/>
    <row r="758" ht="15" outlineLevel="2"/>
    <row r="759" ht="15" outlineLevel="2"/>
    <row r="760" ht="15" outlineLevel="2"/>
    <row r="761" ht="15" outlineLevel="2"/>
    <row r="762" ht="15" outlineLevel="2"/>
    <row r="763" ht="15" outlineLevel="2"/>
    <row r="764" ht="15" outlineLevel="2"/>
    <row r="765" ht="15" outlineLevel="2"/>
    <row r="766" ht="15" outlineLevel="2"/>
    <row r="767" ht="15" outlineLevel="2"/>
    <row r="768" ht="15" outlineLevel="2"/>
    <row r="769" ht="15" outlineLevel="2"/>
    <row r="770" ht="15" outlineLevel="2"/>
    <row r="771" ht="15" outlineLevel="2"/>
    <row r="772" ht="15" outlineLevel="2"/>
    <row r="773" ht="15" outlineLevel="2"/>
    <row r="774" ht="15" outlineLevel="2"/>
    <row r="775" ht="15" outlineLevel="2"/>
    <row r="776" ht="15" outlineLevel="2"/>
    <row r="777" ht="15" outlineLevel="2"/>
    <row r="778" ht="15" outlineLevel="2"/>
    <row r="779" ht="15" outlineLevel="2"/>
    <row r="780" ht="15" outlineLevel="2"/>
    <row r="781" ht="15" outlineLevel="2"/>
    <row r="782" ht="15" outlineLevel="2"/>
    <row r="783" ht="15" outlineLevel="2"/>
    <row r="784" ht="15" outlineLevel="2"/>
    <row r="785" ht="15" outlineLevel="2"/>
    <row r="786" ht="15" outlineLevel="2"/>
    <row r="787" ht="15" outlineLevel="2"/>
    <row r="788" ht="15" outlineLevel="2"/>
    <row r="789" ht="15" outlineLevel="2"/>
    <row r="790" ht="15" outlineLevel="2"/>
    <row r="791" ht="15" outlineLevel="2"/>
    <row r="792" ht="15" outlineLevel="2"/>
    <row r="793" ht="15" outlineLevel="2"/>
    <row r="794" ht="15" outlineLevel="2"/>
    <row r="795" ht="15" outlineLevel="2"/>
    <row r="796" ht="15" outlineLevel="2"/>
    <row r="797" ht="15" outlineLevel="2"/>
    <row r="798" ht="15" outlineLevel="2"/>
    <row r="799" ht="15" outlineLevel="2"/>
    <row r="800" ht="15" outlineLevel="2"/>
    <row r="801" ht="15" outlineLevel="2"/>
    <row r="802" ht="15" outlineLevel="2"/>
    <row r="803" ht="15" outlineLevel="2"/>
    <row r="804" ht="15" outlineLevel="2"/>
    <row r="805" ht="15" outlineLevel="2"/>
    <row r="806" ht="15" outlineLevel="2"/>
    <row r="807" ht="15" outlineLevel="2"/>
    <row r="808" ht="15" outlineLevel="2"/>
    <row r="809" ht="15" outlineLevel="2"/>
    <row r="810" ht="15" outlineLevel="2"/>
    <row r="811" ht="15" outlineLevel="2"/>
    <row r="812" ht="15" outlineLevel="2"/>
    <row r="813" ht="15" outlineLevel="2"/>
    <row r="814" ht="15" outlineLevel="2"/>
    <row r="815" ht="15" outlineLevel="2"/>
    <row r="816" ht="15" outlineLevel="2"/>
    <row r="817" ht="15" outlineLevel="2"/>
    <row r="818" ht="15" outlineLevel="2"/>
    <row r="819" ht="15" outlineLevel="2"/>
    <row r="820" ht="15" outlineLevel="2"/>
    <row r="821" ht="15" outlineLevel="2"/>
    <row r="822" ht="15" outlineLevel="2"/>
    <row r="823" ht="15" outlineLevel="2"/>
    <row r="824" ht="15" outlineLevel="2"/>
    <row r="825" ht="15" outlineLevel="2"/>
    <row r="826" ht="15" outlineLevel="2"/>
    <row r="827" ht="15" outlineLevel="2"/>
    <row r="828" ht="15" outlineLevel="2"/>
    <row r="829" ht="15" outlineLevel="2"/>
    <row r="830" ht="15" outlineLevel="2"/>
    <row r="831" ht="15" outlineLevel="2"/>
    <row r="832" ht="15" outlineLevel="2"/>
    <row r="833" ht="15" outlineLevel="2"/>
    <row r="834" ht="15" outlineLevel="2"/>
    <row r="835" ht="15" outlineLevel="2"/>
    <row r="836" ht="15" outlineLevel="2"/>
    <row r="837" ht="15" outlineLevel="2"/>
    <row r="838" ht="15" outlineLevel="2"/>
    <row r="839" ht="15" outlineLevel="2"/>
    <row r="840" ht="15" outlineLevel="2"/>
    <row r="841" ht="15" outlineLevel="2"/>
    <row r="842" ht="15" outlineLevel="2"/>
    <row r="843" ht="15" outlineLevel="2"/>
    <row r="844" ht="15" outlineLevel="2"/>
    <row r="845" ht="15" outlineLevel="2"/>
    <row r="846" ht="15" outlineLevel="2"/>
    <row r="847" ht="15" outlineLevel="2"/>
    <row r="848" ht="15" outlineLevel="2"/>
    <row r="849" ht="15" outlineLevel="2"/>
    <row r="850" ht="15" outlineLevel="2"/>
    <row r="851" ht="15" outlineLevel="2"/>
    <row r="852" ht="15" outlineLevel="2"/>
    <row r="853" ht="15" outlineLevel="2"/>
    <row r="854" ht="15" outlineLevel="2"/>
    <row r="855" ht="15" outlineLevel="2"/>
    <row r="856" ht="15" outlineLevel="2"/>
    <row r="857" ht="15" outlineLevel="2"/>
    <row r="858" ht="15" outlineLevel="2"/>
    <row r="859" ht="15" outlineLevel="2"/>
    <row r="860" ht="15" outlineLevel="2"/>
    <row r="861" ht="15" outlineLevel="2"/>
    <row r="862" ht="15" outlineLevel="2"/>
    <row r="863" ht="15" outlineLevel="2"/>
    <row r="864" ht="15" outlineLevel="2"/>
    <row r="865" ht="15" outlineLevel="2"/>
    <row r="866" ht="15" outlineLevel="2"/>
    <row r="867" ht="15" outlineLevel="2"/>
    <row r="868" ht="15" outlineLevel="2"/>
    <row r="869" ht="15" outlineLevel="2"/>
    <row r="870" ht="15" outlineLevel="2"/>
    <row r="871" ht="15" outlineLevel="2"/>
    <row r="872" ht="15" outlineLevel="2"/>
    <row r="873" ht="15" outlineLevel="2"/>
    <row r="874" ht="15" outlineLevel="2"/>
    <row r="875" ht="15" outlineLevel="2"/>
    <row r="876" ht="15" outlineLevel="2"/>
    <row r="877" ht="15" outlineLevel="2"/>
    <row r="878" ht="15" outlineLevel="2"/>
    <row r="879" ht="15" outlineLevel="2"/>
    <row r="880" ht="15" outlineLevel="2"/>
    <row r="881" ht="15" outlineLevel="2"/>
    <row r="882" ht="15" outlineLevel="2"/>
    <row r="883" ht="15" outlineLevel="2"/>
    <row r="884" ht="15" outlineLevel="2"/>
    <row r="885" ht="15" outlineLevel="2"/>
    <row r="886" ht="15" outlineLevel="2"/>
    <row r="887" ht="15" outlineLevel="2"/>
    <row r="888" ht="15" outlineLevel="2"/>
    <row r="889" ht="15" outlineLevel="2"/>
    <row r="890" ht="15" outlineLevel="2"/>
    <row r="891" ht="15" outlineLevel="2"/>
    <row r="892" ht="15" outlineLevel="2"/>
    <row r="893" ht="15" outlineLevel="2"/>
    <row r="894" ht="15" outlineLevel="2"/>
    <row r="895" ht="15" outlineLevel="2"/>
    <row r="896" ht="15" outlineLevel="2"/>
    <row r="897" ht="15" outlineLevel="2"/>
    <row r="898" ht="15" outlineLevel="2"/>
    <row r="899" ht="15" outlineLevel="2"/>
    <row r="900" ht="15" outlineLevel="2"/>
    <row r="901" ht="15" outlineLevel="2"/>
    <row r="902" ht="15" outlineLevel="2"/>
    <row r="903" ht="15" outlineLevel="2"/>
    <row r="904" ht="15" outlineLevel="2"/>
    <row r="905" ht="15" outlineLevel="2"/>
    <row r="906" ht="15" outlineLevel="2"/>
    <row r="907" ht="15" outlineLevel="2"/>
    <row r="908" ht="15" outlineLevel="2"/>
    <row r="909" ht="15" outlineLevel="2"/>
    <row r="910" ht="15" outlineLevel="2"/>
    <row r="911" ht="15" outlineLevel="2"/>
    <row r="912" ht="15" outlineLevel="2"/>
    <row r="913" ht="15" outlineLevel="2"/>
    <row r="914" ht="15" outlineLevel="2"/>
    <row r="915" ht="15" outlineLevel="2"/>
    <row r="916" ht="15" outlineLevel="2"/>
    <row r="917" ht="15" outlineLevel="2"/>
    <row r="918" ht="15" outlineLevel="2"/>
    <row r="919" ht="15" outlineLevel="2"/>
    <row r="920" ht="15" outlineLevel="2"/>
    <row r="921" ht="15" outlineLevel="2"/>
    <row r="922" ht="15" outlineLevel="2"/>
    <row r="923" ht="15" outlineLevel="2"/>
    <row r="924" ht="15" outlineLevel="2"/>
    <row r="925" ht="15" outlineLevel="2"/>
    <row r="926" ht="15" outlineLevel="2"/>
    <row r="927" ht="15" outlineLevel="2"/>
    <row r="928" ht="15" outlineLevel="2"/>
    <row r="929" ht="15" outlineLevel="2"/>
    <row r="930" ht="15" outlineLevel="2"/>
    <row r="931" ht="15" outlineLevel="2"/>
    <row r="932" ht="15" outlineLevel="2"/>
    <row r="933" ht="15" outlineLevel="2"/>
    <row r="934" ht="15" outlineLevel="2"/>
    <row r="935" ht="15" outlineLevel="2"/>
    <row r="936" ht="15" outlineLevel="2"/>
    <row r="937" ht="15" outlineLevel="2"/>
    <row r="938" ht="15" outlineLevel="2"/>
    <row r="939" ht="15" outlineLevel="2"/>
    <row r="940" ht="15" outlineLevel="2"/>
    <row r="941" ht="15" outlineLevel="2"/>
    <row r="942" ht="15" outlineLevel="2"/>
    <row r="943" ht="15" outlineLevel="2"/>
    <row r="944" ht="15" outlineLevel="2"/>
    <row r="945" ht="15" outlineLevel="2"/>
    <row r="946" ht="15" outlineLevel="2"/>
    <row r="947" ht="15" outlineLevel="2"/>
    <row r="948" ht="15" outlineLevel="2"/>
    <row r="949" ht="15" outlineLevel="2"/>
    <row r="950" ht="15" outlineLevel="2"/>
    <row r="951" ht="15" outlineLevel="2"/>
    <row r="952" ht="15" outlineLevel="2"/>
    <row r="953" ht="15" outlineLevel="2"/>
    <row r="954" ht="15" outlineLevel="2"/>
    <row r="955" ht="15" outlineLevel="2"/>
    <row r="956" ht="15" outlineLevel="2"/>
    <row r="957" ht="15" outlineLevel="2"/>
    <row r="958" ht="15" outlineLevel="2"/>
    <row r="959" ht="15" outlineLevel="2"/>
    <row r="960" ht="15" outlineLevel="2"/>
    <row r="961" ht="15" outlineLevel="2"/>
    <row r="962" ht="15" outlineLevel="2"/>
    <row r="963" ht="15" outlineLevel="2"/>
    <row r="964" ht="15" outlineLevel="2"/>
    <row r="965" ht="15" outlineLevel="2"/>
    <row r="966" ht="15" outlineLevel="2"/>
    <row r="967" ht="15" outlineLevel="2"/>
    <row r="968" ht="15" outlineLevel="2"/>
    <row r="969" ht="15" outlineLevel="2"/>
    <row r="970" ht="15" outlineLevel="2"/>
    <row r="971" ht="15" outlineLevel="2"/>
    <row r="972" ht="15" outlineLevel="2"/>
    <row r="973" ht="15" outlineLevel="2"/>
    <row r="974" ht="15" outlineLevel="2"/>
    <row r="975" ht="15" outlineLevel="2"/>
    <row r="976" ht="15" outlineLevel="2"/>
    <row r="977" ht="15" outlineLevel="2"/>
    <row r="978" ht="15" outlineLevel="2"/>
    <row r="979" ht="15" outlineLevel="2"/>
    <row r="980" ht="15" outlineLevel="2"/>
    <row r="981" ht="15" outlineLevel="2"/>
    <row r="982" ht="15" outlineLevel="2"/>
    <row r="983" ht="15" outlineLevel="2"/>
    <row r="984" ht="15" outlineLevel="2"/>
    <row r="985" ht="15" outlineLevel="2"/>
    <row r="986" ht="15" outlineLevel="2"/>
    <row r="987" ht="15" outlineLevel="2"/>
    <row r="988" ht="15" outlineLevel="2"/>
    <row r="989" ht="15" outlineLevel="2"/>
    <row r="990" ht="15" outlineLevel="2"/>
    <row r="991" ht="15" outlineLevel="2"/>
    <row r="992" ht="15" outlineLevel="2"/>
    <row r="993" ht="15" outlineLevel="2"/>
    <row r="994" ht="15" outlineLevel="2"/>
    <row r="995" ht="15" outlineLevel="2"/>
    <row r="996" ht="15" outlineLevel="2"/>
    <row r="997" ht="15" outlineLevel="2"/>
    <row r="998" ht="15" outlineLevel="2"/>
    <row r="999" ht="15" outlineLevel="2"/>
    <row r="1000" ht="15" outlineLevel="2"/>
    <row r="1001" ht="15" outlineLevel="2"/>
    <row r="1002" ht="15" outlineLevel="2"/>
    <row r="1003" ht="15" outlineLevel="2"/>
    <row r="1004" ht="15" outlineLevel="2"/>
    <row r="1005" ht="15" outlineLevel="2"/>
    <row r="1006" ht="15" outlineLevel="2"/>
    <row r="1007" ht="15" outlineLevel="2"/>
    <row r="1008" ht="15" outlineLevel="2"/>
    <row r="1009" ht="15" outlineLevel="2"/>
    <row r="1010" ht="15" outlineLevel="2"/>
    <row r="1011" ht="15" outlineLevel="2"/>
    <row r="1012" ht="15" outlineLevel="2"/>
    <row r="1013" ht="15" outlineLevel="2"/>
    <row r="1014" ht="15" outlineLevel="2"/>
    <row r="1015" ht="15" outlineLevel="2"/>
    <row r="1016" ht="15" outlineLevel="2"/>
    <row r="1017" ht="15" outlineLevel="2"/>
    <row r="1018" ht="15" outlineLevel="2"/>
    <row r="1019" ht="15" outlineLevel="2"/>
    <row r="1020" ht="15" outlineLevel="2"/>
    <row r="1021" ht="15" outlineLevel="2"/>
    <row r="1022" ht="15" outlineLevel="2"/>
    <row r="1023" ht="15" outlineLevel="2"/>
    <row r="1024" ht="15" outlineLevel="2"/>
    <row r="1025" ht="15" outlineLevel="2"/>
    <row r="1026" ht="15" outlineLevel="2"/>
    <row r="1027" ht="15" outlineLevel="2"/>
    <row r="1028" ht="15" outlineLevel="2"/>
    <row r="1029" ht="15" outlineLevel="2"/>
    <row r="1030" ht="15" outlineLevel="2"/>
    <row r="1031" ht="15" outlineLevel="2"/>
    <row r="1032" ht="15" outlineLevel="2"/>
    <row r="1033" ht="15" outlineLevel="2"/>
    <row r="1034" ht="15" outlineLevel="2"/>
    <row r="1035" ht="15" outlineLevel="2"/>
    <row r="1036" ht="15" outlineLevel="2"/>
    <row r="1037" ht="15" outlineLevel="2"/>
    <row r="1038" ht="15" outlineLevel="2"/>
    <row r="1039" ht="15" outlineLevel="2"/>
    <row r="1040" ht="15" outlineLevel="2"/>
    <row r="1041" ht="15" outlineLevel="2"/>
    <row r="1042" ht="15" outlineLevel="2"/>
    <row r="1043" ht="15" outlineLevel="2"/>
    <row r="1044" ht="15" outlineLevel="2"/>
    <row r="1045" ht="15" outlineLevel="2"/>
    <row r="1046" ht="15" outlineLevel="2"/>
    <row r="1047" ht="15" outlineLevel="2"/>
    <row r="1048" ht="15" outlineLevel="2"/>
    <row r="1049" ht="15" outlineLevel="2"/>
    <row r="1050" ht="15" outlineLevel="2"/>
    <row r="1051" ht="15" outlineLevel="2"/>
    <row r="1052" ht="15" outlineLevel="2"/>
    <row r="1053" ht="15" outlineLevel="2"/>
    <row r="1054" ht="15" outlineLevel="2"/>
    <row r="1055" ht="15" outlineLevel="2"/>
    <row r="1056" ht="15" outlineLevel="2"/>
    <row r="1057" ht="15" outlineLevel="2"/>
    <row r="1058" ht="15" outlineLevel="2"/>
    <row r="1059" ht="15" outlineLevel="2"/>
    <row r="1060" ht="15" outlineLevel="2"/>
    <row r="1061" ht="15" outlineLevel="2"/>
    <row r="1062" ht="15" outlineLevel="2"/>
    <row r="1063" ht="15" outlineLevel="2"/>
    <row r="1064" ht="15" outlineLevel="2"/>
    <row r="1065" ht="15" outlineLevel="2"/>
    <row r="1066" ht="15" outlineLevel="2"/>
    <row r="1067" ht="15" outlineLevel="2"/>
    <row r="1068" ht="15" outlineLevel="2"/>
    <row r="1069" ht="15" outlineLevel="2"/>
    <row r="1070" ht="15" outlineLevel="2"/>
    <row r="1071" ht="15" outlineLevel="2"/>
    <row r="1072" ht="15" outlineLevel="2"/>
    <row r="1073" ht="15" outlineLevel="2"/>
    <row r="1074" ht="15" outlineLevel="2"/>
    <row r="1075" ht="15" outlineLevel="2"/>
    <row r="1076" ht="15" outlineLevel="2"/>
    <row r="1077" ht="15" outlineLevel="2"/>
    <row r="1078" ht="15" outlineLevel="2"/>
    <row r="1079" ht="15" outlineLevel="2"/>
    <row r="1080" ht="15" outlineLevel="2"/>
    <row r="1081" ht="15" outlineLevel="2"/>
    <row r="1082" ht="15" outlineLevel="2"/>
    <row r="1083" ht="15" outlineLevel="2"/>
    <row r="1084" ht="15" outlineLevel="2"/>
    <row r="1085" ht="15" outlineLevel="2"/>
    <row r="1086" ht="15" outlineLevel="2"/>
    <row r="1087" ht="15" outlineLevel="2"/>
    <row r="1088" ht="15" outlineLevel="2"/>
    <row r="1089" ht="15" outlineLevel="2"/>
    <row r="1090" ht="15" outlineLevel="2"/>
    <row r="1091" ht="15" outlineLevel="2"/>
    <row r="1092" ht="15" outlineLevel="2"/>
    <row r="1093" ht="15" outlineLevel="2"/>
    <row r="1094" ht="15" outlineLevel="2"/>
    <row r="1095" ht="15" outlineLevel="2"/>
    <row r="1096" ht="15" outlineLevel="2"/>
    <row r="1097" ht="15" outlineLevel="2"/>
    <row r="1098" ht="15" outlineLevel="2"/>
    <row r="1099" ht="15" outlineLevel="2"/>
    <row r="1100" ht="15" outlineLevel="2"/>
    <row r="1101" ht="15" outlineLevel="2"/>
    <row r="1102" ht="15" outlineLevel="2"/>
    <row r="1103" ht="15" outlineLevel="2"/>
    <row r="1104" ht="15" outlineLevel="2"/>
    <row r="1105" ht="15" outlineLevel="2"/>
    <row r="1106" ht="15" outlineLevel="2"/>
    <row r="1107" ht="15" outlineLevel="2"/>
    <row r="1108" ht="15" outlineLevel="2"/>
    <row r="1109" ht="15" outlineLevel="2"/>
    <row r="1110" ht="15" outlineLevel="2"/>
    <row r="1111" ht="15" outlineLevel="2"/>
    <row r="1112" ht="15" outlineLevel="2"/>
    <row r="1113" ht="15" outlineLevel="2"/>
    <row r="1114" ht="15" outlineLevel="2"/>
    <row r="1115" ht="15" outlineLevel="2"/>
    <row r="1116" ht="15" outlineLevel="2"/>
    <row r="1117" ht="15" outlineLevel="2"/>
    <row r="1118" ht="15" outlineLevel="2"/>
    <row r="1119" ht="15" outlineLevel="2"/>
    <row r="1120" ht="15" outlineLevel="2"/>
    <row r="1121" ht="15" outlineLevel="2"/>
    <row r="1122" ht="15" outlineLevel="2"/>
    <row r="1123" ht="15" outlineLevel="2"/>
    <row r="1124" ht="15" outlineLevel="2"/>
    <row r="1125" ht="15" outlineLevel="2"/>
    <row r="1126" ht="15" outlineLevel="2"/>
    <row r="1127" ht="15" outlineLevel="2"/>
    <row r="1128" ht="15" outlineLevel="2"/>
    <row r="1129" ht="15" outlineLevel="2"/>
    <row r="1130" ht="15" outlineLevel="2"/>
    <row r="1131" ht="15" outlineLevel="2"/>
    <row r="1132" ht="15" outlineLevel="2"/>
    <row r="1133" ht="15" outlineLevel="2"/>
    <row r="1134" ht="15" outlineLevel="2"/>
    <row r="1135" ht="15" outlineLevel="2"/>
    <row r="1136" ht="15" outlineLevel="2"/>
    <row r="1137" ht="15" outlineLevel="2"/>
    <row r="1138" ht="15" outlineLevel="2"/>
    <row r="1139" ht="15" outlineLevel="2"/>
    <row r="1140" ht="15" outlineLevel="2"/>
    <row r="1141" ht="15" outlineLevel="2"/>
    <row r="1142" ht="15" outlineLevel="2"/>
    <row r="1143" ht="15" outlineLevel="2"/>
    <row r="1144" ht="15" outlineLevel="2"/>
    <row r="1145" ht="15" outlineLevel="2"/>
    <row r="1146" ht="15" outlineLevel="2"/>
    <row r="1147" ht="15" outlineLevel="2"/>
    <row r="1148" ht="15" outlineLevel="2"/>
    <row r="1149" ht="15" outlineLevel="2"/>
    <row r="1150" ht="15" outlineLevel="2"/>
    <row r="1151" ht="15" outlineLevel="2"/>
    <row r="1152" ht="15" outlineLevel="2"/>
    <row r="1153" ht="15" outlineLevel="2"/>
    <row r="1154" ht="15" outlineLevel="2"/>
    <row r="1155" ht="15" outlineLevel="2"/>
    <row r="1156" ht="15" outlineLevel="2"/>
    <row r="1157" ht="15" outlineLevel="2"/>
    <row r="1158" ht="15" outlineLevel="2"/>
    <row r="1159" ht="15" outlineLevel="2"/>
    <row r="1160" ht="15" outlineLevel="2"/>
    <row r="1161" ht="15" outlineLevel="2"/>
    <row r="1162" ht="15" outlineLevel="2"/>
    <row r="1163" ht="15" outlineLevel="2"/>
    <row r="1164" ht="15" outlineLevel="2"/>
    <row r="1165" ht="15" outlineLevel="2"/>
    <row r="1166" ht="15" outlineLevel="2"/>
    <row r="1167" ht="15" outlineLevel="2"/>
    <row r="1168" ht="15" outlineLevel="2"/>
    <row r="1169" ht="15" outlineLevel="2"/>
    <row r="1170" ht="15" outlineLevel="2"/>
    <row r="1171" ht="15" outlineLevel="2"/>
    <row r="1172" ht="15" outlineLevel="2"/>
    <row r="1173" ht="15" outlineLevel="2"/>
    <row r="1174" ht="15" outlineLevel="2"/>
    <row r="1175" ht="15" outlineLevel="2"/>
    <row r="1176" ht="15" outlineLevel="2"/>
    <row r="1177" ht="15" outlineLevel="2"/>
    <row r="1178" ht="15" outlineLevel="2"/>
    <row r="1179" ht="15" outlineLevel="2"/>
    <row r="1180" ht="15" outlineLevel="2"/>
    <row r="1181" ht="15" outlineLevel="2"/>
    <row r="1182" ht="15" outlineLevel="2"/>
    <row r="1183" ht="15" outlineLevel="2"/>
    <row r="1184" ht="15" outlineLevel="2"/>
    <row r="1185" ht="15" outlineLevel="2"/>
    <row r="1186" ht="15" outlineLevel="2"/>
    <row r="1187" ht="15" outlineLevel="2"/>
    <row r="1188" ht="15" outlineLevel="2"/>
    <row r="1189" ht="15" outlineLevel="2"/>
    <row r="1190" ht="15" outlineLevel="2"/>
    <row r="1191" ht="15" outlineLevel="2"/>
    <row r="1192" ht="15" outlineLevel="2"/>
    <row r="1193" ht="15" outlineLevel="2"/>
    <row r="1194" ht="15" outlineLevel="2"/>
    <row r="1195" ht="15" outlineLevel="2"/>
    <row r="1196" ht="15" outlineLevel="2"/>
    <row r="1197" ht="15" outlineLevel="2"/>
    <row r="1198" ht="15" outlineLevel="2"/>
    <row r="1199" ht="15" outlineLevel="2"/>
    <row r="1200" ht="15" outlineLevel="2"/>
    <row r="1201" ht="15" outlineLevel="2"/>
    <row r="1202" ht="15" outlineLevel="2"/>
    <row r="1203" ht="15" outlineLevel="2"/>
    <row r="1204" ht="15" outlineLevel="2"/>
    <row r="1205" ht="15" outlineLevel="2"/>
    <row r="1206" ht="15" outlineLevel="2"/>
    <row r="1207" ht="15" outlineLevel="2"/>
    <row r="1208" ht="15" outlineLevel="2"/>
    <row r="1209" ht="15" outlineLevel="2"/>
    <row r="1210" ht="15" outlineLevel="2"/>
    <row r="1211" ht="15" outlineLevel="2"/>
    <row r="1212" ht="15" outlineLevel="2"/>
    <row r="1213" ht="15" outlineLevel="2"/>
    <row r="1214" ht="15" outlineLevel="2"/>
    <row r="1215" ht="15" outlineLevel="2"/>
    <row r="1216" ht="15" outlineLevel="2"/>
    <row r="1217" ht="15" outlineLevel="2"/>
    <row r="1218" ht="15" outlineLevel="2"/>
    <row r="1219" ht="15" outlineLevel="2"/>
    <row r="1220" ht="15" outlineLevel="2"/>
    <row r="1221" ht="15" outlineLevel="2"/>
    <row r="1222" ht="15" outlineLevel="2"/>
    <row r="1223" ht="15" outlineLevel="2"/>
    <row r="1224" ht="15" outlineLevel="2"/>
    <row r="1225" ht="15" outlineLevel="2"/>
    <row r="1226" ht="15" outlineLevel="2"/>
    <row r="1227" ht="15" outlineLevel="2"/>
    <row r="1228" ht="15" outlineLevel="2"/>
    <row r="1229" ht="15" outlineLevel="2"/>
    <row r="1230" ht="15" outlineLevel="2"/>
    <row r="1231" ht="15" outlineLevel="2"/>
    <row r="1232" ht="15" outlineLevel="2"/>
    <row r="1233" ht="15" outlineLevel="2"/>
    <row r="1234" ht="15" outlineLevel="2"/>
    <row r="1235" ht="15" outlineLevel="2"/>
    <row r="1236" ht="15" outlineLevel="2"/>
    <row r="1237" ht="15" outlineLevel="2"/>
    <row r="1238" ht="15" outlineLevel="2"/>
    <row r="1239" ht="15" outlineLevel="2"/>
    <row r="1240" ht="15" outlineLevel="2"/>
    <row r="1241" ht="15" outlineLevel="2"/>
    <row r="1242" ht="15" outlineLevel="2"/>
    <row r="1243" ht="15" outlineLevel="2"/>
    <row r="1244" ht="15" outlineLevel="2"/>
    <row r="1245" ht="15" outlineLevel="2"/>
    <row r="1246" ht="15" outlineLevel="2"/>
    <row r="1247" ht="15" outlineLevel="2"/>
    <row r="1248" ht="15" outlineLevel="2"/>
    <row r="1249" ht="15" outlineLevel="2"/>
    <row r="1250" ht="15" outlineLevel="2"/>
    <row r="1251" ht="15" outlineLevel="2"/>
    <row r="1252" ht="15" outlineLevel="2"/>
    <row r="1253" ht="15" outlineLevel="2"/>
    <row r="1254" ht="15" outlineLevel="2"/>
    <row r="1255" ht="15" outlineLevel="2"/>
    <row r="1256" ht="15" outlineLevel="2"/>
    <row r="1257" ht="15" outlineLevel="2"/>
    <row r="1258" ht="15" outlineLevel="2"/>
    <row r="1259" ht="15" outlineLevel="2"/>
    <row r="1260" ht="15" outlineLevel="2"/>
    <row r="1261" ht="15" outlineLevel="2"/>
    <row r="1262" ht="15" outlineLevel="2"/>
    <row r="1263" ht="15" outlineLevel="2"/>
    <row r="1264" ht="15" outlineLevel="2"/>
    <row r="1265" ht="15" outlineLevel="2"/>
    <row r="1266" ht="15" outlineLevel="2"/>
    <row r="1267" ht="15" outlineLevel="2"/>
    <row r="1268" ht="15" outlineLevel="2"/>
    <row r="1269" ht="15" outlineLevel="2"/>
    <row r="1270" ht="15" outlineLevel="2"/>
    <row r="1271" ht="15" outlineLevel="2"/>
    <row r="1272" ht="15" outlineLevel="2"/>
    <row r="1273" ht="15" outlineLevel="2"/>
    <row r="1274" ht="15" outlineLevel="2"/>
    <row r="1275" ht="15" outlineLevel="2"/>
    <row r="1276" ht="15" outlineLevel="2"/>
    <row r="1277" ht="15" outlineLevel="2"/>
    <row r="1278" ht="15" outlineLevel="2"/>
    <row r="1279" ht="15" outlineLevel="2"/>
    <row r="1280" ht="15" outlineLevel="2"/>
    <row r="1281" ht="15" outlineLevel="2"/>
    <row r="1282" ht="15" outlineLevel="2"/>
    <row r="1283" ht="15" outlineLevel="2"/>
    <row r="1284" ht="15" outlineLevel="2"/>
    <row r="1285" ht="15" outlineLevel="2"/>
    <row r="1286" ht="15" outlineLevel="2"/>
    <row r="1287" ht="15" outlineLevel="2"/>
    <row r="1288" ht="15" outlineLevel="2"/>
    <row r="1289" ht="15" outlineLevel="2"/>
    <row r="1290" ht="15" outlineLevel="2"/>
    <row r="1291" ht="15" outlineLevel="2"/>
    <row r="1292" ht="15" outlineLevel="2"/>
    <row r="1293" ht="15" outlineLevel="2"/>
    <row r="1294" ht="15" outlineLevel="2"/>
    <row r="1295" ht="15" outlineLevel="2"/>
    <row r="1296" ht="15" outlineLevel="2"/>
    <row r="1297" ht="15" outlineLevel="2"/>
    <row r="1298" ht="15" outlineLevel="2"/>
    <row r="1299" ht="15" outlineLevel="2"/>
    <row r="1300" ht="15" outlineLevel="2"/>
    <row r="1301" ht="15" outlineLevel="2"/>
    <row r="1302" ht="15" outlineLevel="2"/>
    <row r="1303" ht="15" outlineLevel="2"/>
    <row r="1304" ht="15" outlineLevel="2"/>
    <row r="1305" ht="15" outlineLevel="2"/>
    <row r="1306" ht="15" outlineLevel="2"/>
    <row r="1307" ht="15" outlineLevel="2"/>
    <row r="1308" ht="15" outlineLevel="2"/>
    <row r="1309" ht="15" outlineLevel="2"/>
    <row r="1310" ht="15" outlineLevel="2"/>
    <row r="1311" ht="15" outlineLevel="2"/>
    <row r="1312" ht="15" outlineLevel="2"/>
    <row r="1313" ht="15" outlineLevel="2"/>
    <row r="1314" ht="15" outlineLevel="2"/>
    <row r="1315" ht="15" outlineLevel="2"/>
    <row r="1316" ht="15" outlineLevel="2"/>
    <row r="1317" ht="15" outlineLevel="2"/>
    <row r="1318" ht="15" outlineLevel="2"/>
    <row r="1319" ht="15" outlineLevel="2"/>
    <row r="1320" ht="15" outlineLevel="2"/>
    <row r="1321" ht="15" outlineLevel="2"/>
    <row r="1322" ht="15" outlineLevel="2"/>
    <row r="1323" ht="15" outlineLevel="2"/>
    <row r="1324" ht="15" outlineLevel="2"/>
    <row r="1325" ht="15" outlineLevel="2"/>
    <row r="1326" ht="15" outlineLevel="2"/>
    <row r="1327" ht="15" outlineLevel="2"/>
    <row r="1328" ht="15" outlineLevel="2"/>
    <row r="1329" ht="15" outlineLevel="2"/>
    <row r="1330" ht="15" outlineLevel="2"/>
    <row r="1331" ht="15" outlineLevel="2"/>
    <row r="1332" ht="15" outlineLevel="2"/>
    <row r="1333" ht="15" outlineLevel="2"/>
    <row r="1334" ht="15" outlineLevel="2"/>
    <row r="1335" ht="15" outlineLevel="2"/>
    <row r="1336" ht="15" outlineLevel="2"/>
    <row r="1337" ht="15" outlineLevel="2"/>
    <row r="1338" ht="15" outlineLevel="2"/>
    <row r="1339" ht="15" outlineLevel="2"/>
    <row r="1340" ht="15" outlineLevel="2"/>
    <row r="1341" ht="15" outlineLevel="2"/>
    <row r="1342" ht="15" outlineLevel="2"/>
    <row r="1343" ht="15" outlineLevel="2"/>
    <row r="1344" ht="15" outlineLevel="2"/>
    <row r="1345" ht="15" outlineLevel="2"/>
    <row r="1346" ht="15" outlineLevel="2"/>
    <row r="1347" ht="15" outlineLevel="2"/>
    <row r="1348" ht="15" outlineLevel="2"/>
    <row r="1349" ht="15" outlineLevel="2"/>
    <row r="1350" ht="15" outlineLevel="2"/>
    <row r="1351" ht="15" outlineLevel="2"/>
    <row r="1352" ht="15" outlineLevel="2"/>
    <row r="1353" ht="15" outlineLevel="2"/>
    <row r="1354" ht="15" outlineLevel="2"/>
    <row r="1355" ht="15" outlineLevel="2"/>
    <row r="1356" ht="15" outlineLevel="2"/>
    <row r="1357" ht="15" outlineLevel="2"/>
    <row r="1358" ht="15" outlineLevel="2"/>
    <row r="1359" ht="15" outlineLevel="2"/>
    <row r="1360" ht="15" outlineLevel="2"/>
    <row r="1361" ht="15" outlineLevel="2"/>
    <row r="1362" ht="15" outlineLevel="2"/>
    <row r="1363" ht="15" outlineLevel="2"/>
    <row r="1364" ht="15" outlineLevel="2"/>
    <row r="1365" ht="15" outlineLevel="2"/>
    <row r="1366" ht="15" outlineLevel="2"/>
    <row r="1367" ht="15" outlineLevel="2"/>
    <row r="1368" ht="15" outlineLevel="2"/>
    <row r="1369" ht="15" outlineLevel="2"/>
    <row r="1370" ht="15" outlineLevel="2"/>
    <row r="1371" ht="15" outlineLevel="2"/>
    <row r="1372" ht="15" outlineLevel="2"/>
    <row r="1373" ht="15" outlineLevel="2"/>
    <row r="1374" ht="15" outlineLevel="2"/>
    <row r="1375" ht="15" outlineLevel="2"/>
    <row r="1376" ht="15" outlineLevel="2"/>
    <row r="1377" ht="15" outlineLevel="2"/>
    <row r="1378" ht="15" outlineLevel="2"/>
    <row r="1379" ht="15" outlineLevel="2"/>
    <row r="1380" ht="15" outlineLevel="2"/>
    <row r="1381" ht="15" outlineLevel="2"/>
    <row r="1382" ht="15" outlineLevel="2"/>
    <row r="1383" ht="15" outlineLevel="2"/>
    <row r="1384" ht="15" outlineLevel="2"/>
    <row r="1385" ht="15" outlineLevel="2"/>
    <row r="1386" ht="15" outlineLevel="2"/>
    <row r="1387" ht="15" outlineLevel="2"/>
    <row r="1388" ht="15" outlineLevel="2"/>
    <row r="1389" ht="15" outlineLevel="2"/>
    <row r="1390" ht="15" outlineLevel="2"/>
    <row r="1391" ht="15" outlineLevel="2"/>
    <row r="1392" ht="15" outlineLevel="2"/>
    <row r="1393" ht="15" outlineLevel="2"/>
    <row r="1394" ht="15" outlineLevel="2"/>
    <row r="1395" ht="15" outlineLevel="2"/>
    <row r="1396" ht="15" outlineLevel="2"/>
    <row r="1397" ht="15" outlineLevel="2"/>
    <row r="1398" ht="15" outlineLevel="2"/>
    <row r="1399" ht="15" outlineLevel="2"/>
    <row r="1400" ht="15" outlineLevel="2"/>
    <row r="1401" ht="15" outlineLevel="2"/>
    <row r="1402" ht="15" outlineLevel="2"/>
    <row r="1403" ht="15" outlineLevel="2"/>
    <row r="1404" ht="15" outlineLevel="2"/>
    <row r="1405" ht="15" outlineLevel="2"/>
    <row r="1406" ht="15" outlineLevel="2"/>
    <row r="1407" ht="15" outlineLevel="2"/>
    <row r="1408" ht="15" outlineLevel="2"/>
    <row r="1409" ht="15" outlineLevel="2"/>
    <row r="1410" ht="15" outlineLevel="2"/>
    <row r="1411" ht="15" outlineLevel="2"/>
    <row r="1412" ht="15" outlineLevel="2"/>
    <row r="1413" ht="15" outlineLevel="2"/>
    <row r="1414" ht="15" outlineLevel="2"/>
    <row r="1415" ht="15" outlineLevel="2"/>
    <row r="1416" ht="15" outlineLevel="2"/>
    <row r="1417" ht="15" outlineLevel="2"/>
    <row r="1418" ht="15" outlineLevel="2"/>
    <row r="1419" ht="15" outlineLevel="2"/>
    <row r="1420" ht="15" outlineLevel="2"/>
    <row r="1421" ht="15" outlineLevel="2"/>
    <row r="1422" ht="15" outlineLevel="2"/>
    <row r="1423" ht="15" outlineLevel="2"/>
    <row r="1424" ht="15" outlineLevel="2"/>
    <row r="1425" ht="15" outlineLevel="2"/>
    <row r="1426" ht="15" outlineLevel="2"/>
    <row r="1427" ht="15" outlineLevel="2"/>
    <row r="1428" ht="15" outlineLevel="2"/>
    <row r="1429" ht="15" outlineLevel="2"/>
    <row r="1430" ht="15" outlineLevel="2"/>
    <row r="1431" ht="15" outlineLevel="2"/>
    <row r="1432" ht="15" outlineLevel="2"/>
    <row r="1433" ht="15" outlineLevel="2"/>
    <row r="1434" ht="15" outlineLevel="2"/>
    <row r="1435" ht="15" outlineLevel="2"/>
    <row r="1436" ht="15" outlineLevel="2"/>
    <row r="1437" ht="15" outlineLevel="2"/>
    <row r="1438" ht="15" outlineLevel="2"/>
    <row r="1439" ht="15" outlineLevel="2"/>
    <row r="1440" ht="15" outlineLevel="2"/>
    <row r="1441" ht="15" outlineLevel="2"/>
    <row r="1442" ht="15" outlineLevel="2"/>
    <row r="1443" ht="15" outlineLevel="2"/>
    <row r="1444" ht="15" outlineLevel="2"/>
    <row r="1445" ht="15" outlineLevel="2"/>
    <row r="1446" ht="15" outlineLevel="2"/>
    <row r="1447" ht="15" outlineLevel="2"/>
    <row r="1448" ht="15" outlineLevel="2"/>
    <row r="1449" ht="15" outlineLevel="2"/>
    <row r="1450" ht="15" outlineLevel="2"/>
    <row r="1451" ht="15" outlineLevel="2"/>
    <row r="1452" ht="15" outlineLevel="2"/>
    <row r="1453" ht="15" outlineLevel="2"/>
    <row r="1454" ht="15" outlineLevel="2"/>
    <row r="1455" ht="15" outlineLevel="2"/>
    <row r="1456" ht="15" outlineLevel="2"/>
    <row r="1457" ht="15" outlineLevel="2"/>
    <row r="1458" ht="15" outlineLevel="2"/>
    <row r="1459" ht="15" outlineLevel="2"/>
    <row r="1460" ht="15" outlineLevel="2"/>
    <row r="1461" ht="15" outlineLevel="2"/>
    <row r="1462" ht="15" outlineLevel="2"/>
    <row r="1463" ht="15" outlineLevel="2"/>
    <row r="1464" ht="15" outlineLevel="2"/>
    <row r="1465" ht="15" outlineLevel="2"/>
    <row r="1466" ht="15" outlineLevel="2"/>
    <row r="1467" spans="1:21" s="5" customFormat="1" ht="15.75" outlineLevel="1">
      <c r="A1467" s="1" t="s">
        <v>766</v>
      </c>
      <c r="B1467" s="172"/>
      <c r="C1467" s="2"/>
      <c r="D1467" s="19"/>
      <c r="E1467" s="44"/>
      <c r="F1467" s="51"/>
      <c r="G1467" s="2"/>
      <c r="H1467" s="137">
        <f aca="true" t="shared" si="152" ref="H1467:U1467">SUBTOTAL(9,H593:H1466)</f>
        <v>0</v>
      </c>
      <c r="I1467" s="144">
        <f t="shared" si="152"/>
        <v>0</v>
      </c>
      <c r="J1467" s="137">
        <f t="shared" si="152"/>
        <v>0</v>
      </c>
      <c r="K1467" s="137">
        <f t="shared" si="152"/>
        <v>0</v>
      </c>
      <c r="L1467" s="141">
        <f t="shared" si="152"/>
        <v>0</v>
      </c>
      <c r="M1467" s="141">
        <f t="shared" si="152"/>
        <v>0</v>
      </c>
      <c r="N1467" s="137">
        <f t="shared" si="152"/>
        <v>0</v>
      </c>
      <c r="O1467" s="45">
        <f t="shared" si="152"/>
        <v>0.75</v>
      </c>
      <c r="P1467" s="137">
        <f t="shared" si="152"/>
        <v>54</v>
      </c>
      <c r="Q1467" s="167">
        <f t="shared" si="152"/>
        <v>0</v>
      </c>
      <c r="R1467" s="137">
        <f t="shared" si="152"/>
        <v>0</v>
      </c>
      <c r="S1467" s="137">
        <f t="shared" si="152"/>
        <v>0</v>
      </c>
      <c r="T1467" s="137">
        <f t="shared" si="152"/>
        <v>0</v>
      </c>
      <c r="U1467" s="137">
        <f t="shared" si="152"/>
        <v>54</v>
      </c>
    </row>
    <row r="1468" spans="1:21" s="5" customFormat="1" ht="15.75" outlineLevel="1" collapsed="1">
      <c r="A1468" s="1" t="s">
        <v>633</v>
      </c>
      <c r="B1468" s="172"/>
      <c r="C1468" s="2"/>
      <c r="D1468" s="19"/>
      <c r="E1468" s="44"/>
      <c r="F1468" s="51"/>
      <c r="G1468" s="2"/>
      <c r="H1468" s="137">
        <f aca="true" t="shared" si="153" ref="H1468:U1468">SUBTOTAL(9,H4:H1466)</f>
        <v>93535.82046479991</v>
      </c>
      <c r="I1468" s="144">
        <f t="shared" si="153"/>
        <v>198496</v>
      </c>
      <c r="J1468" s="137">
        <f t="shared" si="153"/>
        <v>16078.399999999998</v>
      </c>
      <c r="K1468" s="137">
        <f t="shared" si="153"/>
        <v>12240</v>
      </c>
      <c r="L1468" s="141">
        <f t="shared" si="153"/>
        <v>142.92000000000002</v>
      </c>
      <c r="M1468" s="141">
        <f t="shared" si="153"/>
        <v>36.800000000000004</v>
      </c>
      <c r="N1468" s="137">
        <f t="shared" si="153"/>
        <v>229544.69999999998</v>
      </c>
      <c r="O1468" s="45">
        <f t="shared" si="153"/>
        <v>115.5</v>
      </c>
      <c r="P1468" s="137">
        <f t="shared" si="153"/>
        <v>8307</v>
      </c>
      <c r="Q1468" s="167">
        <f t="shared" si="153"/>
        <v>12358</v>
      </c>
      <c r="R1468" s="137">
        <f t="shared" si="153"/>
        <v>12847.850000000002</v>
      </c>
      <c r="S1468" s="137">
        <f t="shared" si="153"/>
        <v>123.58</v>
      </c>
      <c r="T1468" s="137">
        <f t="shared" si="153"/>
        <v>589.8000000000001</v>
      </c>
      <c r="U1468" s="137">
        <f t="shared" si="153"/>
        <v>373267.15046480007</v>
      </c>
    </row>
  </sheetData>
  <autoFilter ref="A3:U593"/>
  <printOptions/>
  <pageMargins left="0.25" right="0.25" top="0.25" bottom="0.25" header="0.5" footer="0.5"/>
  <pageSetup fitToHeight="1" fitToWidth="1" horizontalDpi="600" verticalDpi="600" orientation="landscape" paperSize="5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5"/>
  <sheetViews>
    <sheetView zoomScale="80" zoomScaleNormal="80" workbookViewId="0" topLeftCell="J1379">
      <selection activeCell="U1395" sqref="U1395"/>
    </sheetView>
  </sheetViews>
  <sheetFormatPr defaultColWidth="8.88671875" defaultRowHeight="15" outlineLevelRow="2"/>
  <cols>
    <col min="1" max="1" width="10.5546875" style="6" customWidth="1"/>
    <col min="2" max="2" width="12.10546875" style="11" customWidth="1"/>
    <col min="3" max="3" width="28.10546875" style="11" customWidth="1"/>
    <col min="4" max="4" width="27.77734375" style="13" customWidth="1"/>
    <col min="5" max="5" width="7.99609375" style="37" customWidth="1"/>
    <col min="6" max="6" width="7.99609375" style="31" customWidth="1"/>
    <col min="7" max="7" width="12.99609375" style="6" customWidth="1"/>
    <col min="8" max="8" width="11.4453125" style="10" customWidth="1"/>
    <col min="9" max="9" width="9.6640625" style="12" bestFit="1" customWidth="1"/>
    <col min="10" max="10" width="10.99609375" style="10" customWidth="1"/>
    <col min="11" max="11" width="11.77734375" style="10" customWidth="1"/>
    <col min="12" max="12" width="8.4453125" style="15" customWidth="1"/>
    <col min="13" max="13" width="8.99609375" style="15" bestFit="1" customWidth="1"/>
    <col min="14" max="14" width="11.5546875" style="10" customWidth="1"/>
    <col min="15" max="15" width="9.5546875" style="33" customWidth="1"/>
    <col min="16" max="16" width="11.99609375" style="10" customWidth="1"/>
    <col min="17" max="17" width="8.77734375" style="12" bestFit="1" customWidth="1"/>
    <col min="18" max="18" width="11.5546875" style="10" bestFit="1" customWidth="1"/>
    <col min="19" max="19" width="10.21484375" style="10" customWidth="1"/>
    <col min="20" max="20" width="9.4453125" style="10" bestFit="1" customWidth="1"/>
    <col min="21" max="21" width="12.99609375" style="6" bestFit="1" customWidth="1"/>
    <col min="22" max="16384" width="8.88671875" style="6" customWidth="1"/>
  </cols>
  <sheetData>
    <row r="1" spans="5:21" ht="15.75">
      <c r="E1" s="27"/>
      <c r="F1" s="20"/>
      <c r="G1" s="11"/>
      <c r="H1" s="3" t="s">
        <v>756</v>
      </c>
      <c r="I1" s="137" t="s">
        <v>631</v>
      </c>
      <c r="J1" s="137">
        <v>0.1</v>
      </c>
      <c r="K1" s="138" t="s">
        <v>56</v>
      </c>
      <c r="L1" s="139"/>
      <c r="M1" s="139"/>
      <c r="N1" s="136"/>
      <c r="O1" s="34"/>
      <c r="P1" s="136"/>
      <c r="Q1" s="140"/>
      <c r="R1" s="136"/>
      <c r="S1" s="136"/>
      <c r="T1" s="136"/>
      <c r="U1" s="11"/>
    </row>
    <row r="2" spans="5:21" ht="15.75">
      <c r="E2" s="27"/>
      <c r="F2" s="20"/>
      <c r="G2" s="11"/>
      <c r="H2" s="162">
        <v>0.0486</v>
      </c>
      <c r="I2" s="137" t="s">
        <v>632</v>
      </c>
      <c r="J2" s="137">
        <v>0.06</v>
      </c>
      <c r="K2" s="137">
        <v>15</v>
      </c>
      <c r="L2" s="139"/>
      <c r="M2" s="141" t="s">
        <v>588</v>
      </c>
      <c r="N2" s="137">
        <v>3135</v>
      </c>
      <c r="O2" s="46" t="s">
        <v>588</v>
      </c>
      <c r="P2" s="137">
        <v>72</v>
      </c>
      <c r="Q2" s="140"/>
      <c r="R2" s="137" t="s">
        <v>588</v>
      </c>
      <c r="S2" s="137">
        <v>0.01</v>
      </c>
      <c r="T2" s="136"/>
      <c r="U2" s="11"/>
    </row>
    <row r="3" spans="1:21" s="5" customFormat="1" ht="47.25">
      <c r="A3" s="1" t="s">
        <v>47</v>
      </c>
      <c r="B3" s="2" t="s">
        <v>48</v>
      </c>
      <c r="C3" s="2" t="s">
        <v>49</v>
      </c>
      <c r="D3" s="19" t="s">
        <v>50</v>
      </c>
      <c r="E3" s="142" t="s">
        <v>51</v>
      </c>
      <c r="F3" s="143" t="s">
        <v>583</v>
      </c>
      <c r="G3" s="2" t="s">
        <v>52</v>
      </c>
      <c r="H3" s="137" t="s">
        <v>53</v>
      </c>
      <c r="I3" s="144" t="s">
        <v>54</v>
      </c>
      <c r="J3" s="137" t="s">
        <v>55</v>
      </c>
      <c r="K3" s="137" t="s">
        <v>56</v>
      </c>
      <c r="L3" s="145" t="s">
        <v>586</v>
      </c>
      <c r="M3" s="145" t="s">
        <v>591</v>
      </c>
      <c r="N3" s="146" t="s">
        <v>587</v>
      </c>
      <c r="O3" s="147" t="s">
        <v>589</v>
      </c>
      <c r="P3" s="146" t="s">
        <v>590</v>
      </c>
      <c r="Q3" s="148" t="s">
        <v>628</v>
      </c>
      <c r="R3" s="146" t="s">
        <v>629</v>
      </c>
      <c r="S3" s="146" t="s">
        <v>630</v>
      </c>
      <c r="T3" s="137" t="s">
        <v>683</v>
      </c>
      <c r="U3" s="45" t="s">
        <v>767</v>
      </c>
    </row>
    <row r="4" spans="1:21" ht="15" outlineLevel="2">
      <c r="A4" s="6" t="s">
        <v>270</v>
      </c>
      <c r="B4" s="7" t="s">
        <v>271</v>
      </c>
      <c r="C4" s="7" t="s">
        <v>272</v>
      </c>
      <c r="D4" s="8" t="s">
        <v>273</v>
      </c>
      <c r="E4" s="42" t="s">
        <v>274</v>
      </c>
      <c r="F4" s="39" t="s">
        <v>53</v>
      </c>
      <c r="G4" s="24" t="s">
        <v>62</v>
      </c>
      <c r="H4" s="136">
        <v>10.102212399999999</v>
      </c>
      <c r="I4" s="149">
        <v>30</v>
      </c>
      <c r="J4" s="136">
        <f>I4*$J$1</f>
        <v>3</v>
      </c>
      <c r="K4" s="136">
        <v>135</v>
      </c>
      <c r="L4" s="139"/>
      <c r="M4" s="139"/>
      <c r="N4" s="136"/>
      <c r="O4" s="11"/>
      <c r="P4" s="136"/>
      <c r="Q4" s="140"/>
      <c r="R4" s="136"/>
      <c r="S4" s="136"/>
      <c r="T4" s="136"/>
      <c r="U4" s="136">
        <f aca="true" t="shared" si="0" ref="U4:U10">H4+J4+K4+N4+P4+R4+S4+T4</f>
        <v>148.10221239999998</v>
      </c>
    </row>
    <row r="5" spans="1:21" ht="15" outlineLevel="2">
      <c r="A5" s="6" t="s">
        <v>270</v>
      </c>
      <c r="B5" s="7" t="s">
        <v>271</v>
      </c>
      <c r="C5" s="7" t="s">
        <v>272</v>
      </c>
      <c r="D5" s="8" t="s">
        <v>273</v>
      </c>
      <c r="E5" s="42" t="s">
        <v>274</v>
      </c>
      <c r="F5" s="39" t="s">
        <v>53</v>
      </c>
      <c r="G5" s="24" t="s">
        <v>63</v>
      </c>
      <c r="H5" s="136">
        <v>62.999888</v>
      </c>
      <c r="I5" s="149">
        <v>16</v>
      </c>
      <c r="J5" s="136">
        <f>I5*$J$2</f>
        <v>0.96</v>
      </c>
      <c r="K5" s="136">
        <v>0</v>
      </c>
      <c r="L5" s="139"/>
      <c r="M5" s="139"/>
      <c r="N5" s="136"/>
      <c r="O5" s="11"/>
      <c r="P5" s="136"/>
      <c r="Q5" s="140"/>
      <c r="R5" s="136"/>
      <c r="S5" s="136"/>
      <c r="T5" s="136"/>
      <c r="U5" s="136">
        <f t="shared" si="0"/>
        <v>63.959888</v>
      </c>
    </row>
    <row r="6" spans="1:21" ht="15" outlineLevel="2">
      <c r="A6" s="6" t="s">
        <v>270</v>
      </c>
      <c r="B6" s="7" t="s">
        <v>271</v>
      </c>
      <c r="C6" s="7" t="s">
        <v>272</v>
      </c>
      <c r="D6" s="8" t="s">
        <v>273</v>
      </c>
      <c r="E6" s="42" t="s">
        <v>274</v>
      </c>
      <c r="F6" s="39" t="s">
        <v>53</v>
      </c>
      <c r="G6" s="24" t="s">
        <v>64</v>
      </c>
      <c r="H6" s="136">
        <v>17.836686</v>
      </c>
      <c r="I6" s="149">
        <v>6</v>
      </c>
      <c r="J6" s="136">
        <f>I6*$J$2</f>
        <v>0.36</v>
      </c>
      <c r="K6" s="136">
        <v>15</v>
      </c>
      <c r="L6" s="139"/>
      <c r="M6" s="139"/>
      <c r="N6" s="136"/>
      <c r="O6" s="11"/>
      <c r="P6" s="136"/>
      <c r="Q6" s="140"/>
      <c r="R6" s="136"/>
      <c r="S6" s="136"/>
      <c r="T6" s="136"/>
      <c r="U6" s="136">
        <f t="shared" si="0"/>
        <v>33.196686</v>
      </c>
    </row>
    <row r="7" spans="1:21" ht="15" outlineLevel="2">
      <c r="A7" s="6" t="s">
        <v>270</v>
      </c>
      <c r="B7" s="7" t="s">
        <v>271</v>
      </c>
      <c r="C7" s="7" t="s">
        <v>272</v>
      </c>
      <c r="D7" s="8" t="s">
        <v>273</v>
      </c>
      <c r="E7" s="42" t="s">
        <v>274</v>
      </c>
      <c r="F7" s="39" t="s">
        <v>53</v>
      </c>
      <c r="G7" s="24" t="s">
        <v>65</v>
      </c>
      <c r="H7" s="136">
        <v>3.837876</v>
      </c>
      <c r="I7" s="149">
        <v>8</v>
      </c>
      <c r="J7" s="136">
        <f>I7*$J$2</f>
        <v>0.48</v>
      </c>
      <c r="K7" s="136">
        <v>15</v>
      </c>
      <c r="L7" s="139"/>
      <c r="M7" s="139"/>
      <c r="N7" s="136"/>
      <c r="O7" s="11"/>
      <c r="P7" s="136"/>
      <c r="Q7" s="140"/>
      <c r="R7" s="136"/>
      <c r="S7" s="136"/>
      <c r="T7" s="136"/>
      <c r="U7" s="136">
        <f t="shared" si="0"/>
        <v>19.317876</v>
      </c>
    </row>
    <row r="8" spans="1:21" ht="15" outlineLevel="2">
      <c r="A8" s="6" t="s">
        <v>270</v>
      </c>
      <c r="B8" s="7" t="s">
        <v>271</v>
      </c>
      <c r="C8" s="7" t="s">
        <v>272</v>
      </c>
      <c r="D8" s="8" t="s">
        <v>273</v>
      </c>
      <c r="E8" s="42" t="s">
        <v>274</v>
      </c>
      <c r="F8" s="39" t="s">
        <v>53</v>
      </c>
      <c r="G8" s="24" t="s">
        <v>66</v>
      </c>
      <c r="H8" s="136">
        <v>6.5369724</v>
      </c>
      <c r="I8" s="149">
        <v>6</v>
      </c>
      <c r="J8" s="136">
        <f>I8*$J$2</f>
        <v>0.36</v>
      </c>
      <c r="K8" s="136">
        <v>15</v>
      </c>
      <c r="L8" s="139"/>
      <c r="M8" s="139"/>
      <c r="N8" s="136"/>
      <c r="O8" s="11"/>
      <c r="P8" s="136"/>
      <c r="Q8" s="140"/>
      <c r="R8" s="136"/>
      <c r="S8" s="136"/>
      <c r="T8" s="136"/>
      <c r="U8" s="136">
        <f t="shared" si="0"/>
        <v>21.8969724</v>
      </c>
    </row>
    <row r="9" spans="1:21" ht="15" outlineLevel="2">
      <c r="A9" s="6" t="str">
        <f>A8</f>
        <v>M302</v>
      </c>
      <c r="B9" s="11" t="str">
        <f>B8</f>
        <v>MCSO</v>
      </c>
      <c r="C9" s="11" t="str">
        <f>C8</f>
        <v>EQUIPMENT</v>
      </c>
      <c r="D9" s="13" t="str">
        <f>D8</f>
        <v>601390</v>
      </c>
      <c r="E9" s="24" t="str">
        <f>E8</f>
        <v>60-20</v>
      </c>
      <c r="F9" s="39" t="s">
        <v>585</v>
      </c>
      <c r="G9" s="24" t="s">
        <v>585</v>
      </c>
      <c r="H9" s="136"/>
      <c r="I9" s="149"/>
      <c r="J9" s="136"/>
      <c r="K9" s="136"/>
      <c r="L9" s="139">
        <v>1</v>
      </c>
      <c r="M9" s="139">
        <v>0.75</v>
      </c>
      <c r="N9" s="136">
        <f>L9*M9*$N$2</f>
        <v>2351.25</v>
      </c>
      <c r="O9" s="11"/>
      <c r="P9" s="136"/>
      <c r="Q9" s="140"/>
      <c r="R9" s="136"/>
      <c r="S9" s="136"/>
      <c r="T9" s="136"/>
      <c r="U9" s="136">
        <f t="shared" si="0"/>
        <v>2351.25</v>
      </c>
    </row>
    <row r="10" spans="1:21" ht="15" outlineLevel="2">
      <c r="A10" s="28" t="s">
        <v>270</v>
      </c>
      <c r="B10" s="11" t="str">
        <f>B9</f>
        <v>MCSO</v>
      </c>
      <c r="C10" s="11" t="str">
        <f>C9</f>
        <v>EQUIPMENT</v>
      </c>
      <c r="D10" s="13" t="str">
        <f>D9</f>
        <v>601390</v>
      </c>
      <c r="E10" s="38" t="str">
        <f>E9</f>
        <v>60-20</v>
      </c>
      <c r="F10" s="20" t="s">
        <v>615</v>
      </c>
      <c r="G10" s="11" t="s">
        <v>615</v>
      </c>
      <c r="H10" s="136"/>
      <c r="I10" s="140"/>
      <c r="J10" s="136"/>
      <c r="K10" s="136"/>
      <c r="L10" s="139"/>
      <c r="M10" s="139"/>
      <c r="N10" s="136"/>
      <c r="O10" s="29">
        <f>2.25+0.5</f>
        <v>2.75</v>
      </c>
      <c r="P10" s="136">
        <f>O10*$P$2</f>
        <v>198</v>
      </c>
      <c r="Q10" s="140"/>
      <c r="R10" s="136"/>
      <c r="S10" s="136"/>
      <c r="T10" s="136"/>
      <c r="U10" s="136">
        <f t="shared" si="0"/>
        <v>198</v>
      </c>
    </row>
    <row r="11" spans="1:21" s="5" customFormat="1" ht="15.75" outlineLevel="1">
      <c r="A11" s="64" t="s">
        <v>965</v>
      </c>
      <c r="B11" s="45"/>
      <c r="C11" s="45"/>
      <c r="D11" s="61"/>
      <c r="E11" s="52"/>
      <c r="F11" s="51"/>
      <c r="G11" s="45"/>
      <c r="H11" s="137">
        <f aca="true" t="shared" si="1" ref="H11:U11">SUBTOTAL(9,H4:H10)</f>
        <v>101.31363479999999</v>
      </c>
      <c r="I11" s="167">
        <f t="shared" si="1"/>
        <v>66</v>
      </c>
      <c r="J11" s="137">
        <f t="shared" si="1"/>
        <v>5.160000000000001</v>
      </c>
      <c r="K11" s="137">
        <f t="shared" si="1"/>
        <v>180</v>
      </c>
      <c r="L11" s="141">
        <f t="shared" si="1"/>
        <v>1</v>
      </c>
      <c r="M11" s="141">
        <f t="shared" si="1"/>
        <v>0.75</v>
      </c>
      <c r="N11" s="137">
        <f t="shared" si="1"/>
        <v>2351.25</v>
      </c>
      <c r="O11" s="65">
        <f t="shared" si="1"/>
        <v>2.75</v>
      </c>
      <c r="P11" s="137">
        <f t="shared" si="1"/>
        <v>198</v>
      </c>
      <c r="Q11" s="167">
        <f t="shared" si="1"/>
        <v>0</v>
      </c>
      <c r="R11" s="137">
        <f t="shared" si="1"/>
        <v>0</v>
      </c>
      <c r="S11" s="137">
        <f t="shared" si="1"/>
        <v>0</v>
      </c>
      <c r="T11" s="137">
        <f t="shared" si="1"/>
        <v>0</v>
      </c>
      <c r="U11" s="137">
        <f t="shared" si="1"/>
        <v>2835.7236348</v>
      </c>
    </row>
    <row r="12" spans="1:21" ht="15" outlineLevel="2">
      <c r="A12" s="6" t="s">
        <v>290</v>
      </c>
      <c r="B12" s="7" t="s">
        <v>271</v>
      </c>
      <c r="C12" s="42" t="s">
        <v>35</v>
      </c>
      <c r="D12" s="8" t="s">
        <v>291</v>
      </c>
      <c r="E12" s="42" t="s">
        <v>274</v>
      </c>
      <c r="F12" s="39" t="s">
        <v>53</v>
      </c>
      <c r="G12" s="24" t="s">
        <v>62</v>
      </c>
      <c r="H12" s="136">
        <v>1.3086528</v>
      </c>
      <c r="I12" s="149">
        <v>4</v>
      </c>
      <c r="J12" s="136">
        <f>I12*$J$1</f>
        <v>0.4</v>
      </c>
      <c r="K12" s="136">
        <v>15</v>
      </c>
      <c r="L12" s="139"/>
      <c r="M12" s="139"/>
      <c r="N12" s="136"/>
      <c r="O12" s="11"/>
      <c r="P12" s="136"/>
      <c r="Q12" s="140"/>
      <c r="R12" s="136"/>
      <c r="S12" s="136"/>
      <c r="T12" s="136"/>
      <c r="U12" s="136">
        <f>H12+J12+K12+N12+P12+R12+S12+T12</f>
        <v>16.7086528</v>
      </c>
    </row>
    <row r="13" spans="1:21" ht="15" outlineLevel="2">
      <c r="A13" s="6" t="s">
        <v>290</v>
      </c>
      <c r="B13" s="7" t="s">
        <v>271</v>
      </c>
      <c r="C13" s="42" t="s">
        <v>35</v>
      </c>
      <c r="D13" s="8" t="s">
        <v>291</v>
      </c>
      <c r="E13" s="42" t="s">
        <v>274</v>
      </c>
      <c r="F13" s="39" t="s">
        <v>53</v>
      </c>
      <c r="G13" s="24" t="s">
        <v>64</v>
      </c>
      <c r="H13" s="136">
        <v>7.119994</v>
      </c>
      <c r="I13" s="149">
        <v>1</v>
      </c>
      <c r="J13" s="136">
        <f>I13*$J$2</f>
        <v>0.06</v>
      </c>
      <c r="K13" s="136">
        <v>15</v>
      </c>
      <c r="L13" s="139"/>
      <c r="M13" s="139"/>
      <c r="N13" s="136"/>
      <c r="O13" s="11"/>
      <c r="P13" s="136"/>
      <c r="Q13" s="140"/>
      <c r="R13" s="136"/>
      <c r="S13" s="136"/>
      <c r="T13" s="136"/>
      <c r="U13" s="136">
        <f>H13+J13+K13+N13+P13+R13+S13+T13</f>
        <v>22.179994</v>
      </c>
    </row>
    <row r="14" spans="1:21" ht="15" outlineLevel="2">
      <c r="A14" s="6" t="str">
        <f>A13</f>
        <v>M321</v>
      </c>
      <c r="B14" s="11" t="str">
        <f>B13</f>
        <v>MCSO</v>
      </c>
      <c r="C14" s="42" t="s">
        <v>35</v>
      </c>
      <c r="D14" s="13" t="str">
        <f>D13</f>
        <v>604020</v>
      </c>
      <c r="E14" s="24" t="str">
        <f>E13</f>
        <v>60-20</v>
      </c>
      <c r="F14" s="39" t="s">
        <v>585</v>
      </c>
      <c r="G14" s="24" t="s">
        <v>585</v>
      </c>
      <c r="H14" s="136"/>
      <c r="I14" s="149"/>
      <c r="J14" s="136"/>
      <c r="K14" s="136"/>
      <c r="L14" s="139">
        <v>2</v>
      </c>
      <c r="M14" s="139">
        <v>0.1429</v>
      </c>
      <c r="N14" s="136">
        <f>L14*M14*$N$2</f>
        <v>895.983</v>
      </c>
      <c r="O14" s="11"/>
      <c r="P14" s="136"/>
      <c r="Q14" s="140"/>
      <c r="R14" s="136"/>
      <c r="S14" s="136"/>
      <c r="T14" s="136"/>
      <c r="U14" s="136">
        <f>H14+J14+K14+N14+P14+R14+S14+T14</f>
        <v>895.983</v>
      </c>
    </row>
    <row r="15" spans="1:21" s="5" customFormat="1" ht="15.75" outlineLevel="1">
      <c r="A15" s="64" t="s">
        <v>966</v>
      </c>
      <c r="B15" s="45"/>
      <c r="C15" s="45"/>
      <c r="D15" s="61"/>
      <c r="E15" s="52"/>
      <c r="F15" s="51"/>
      <c r="G15" s="45"/>
      <c r="H15" s="137">
        <f aca="true" t="shared" si="2" ref="H15:U15">SUBTOTAL(9,H12:H14)</f>
        <v>8.4286468</v>
      </c>
      <c r="I15" s="167">
        <f t="shared" si="2"/>
        <v>5</v>
      </c>
      <c r="J15" s="137">
        <f t="shared" si="2"/>
        <v>0.46</v>
      </c>
      <c r="K15" s="137">
        <f t="shared" si="2"/>
        <v>30</v>
      </c>
      <c r="L15" s="141">
        <f t="shared" si="2"/>
        <v>2</v>
      </c>
      <c r="M15" s="141">
        <f t="shared" si="2"/>
        <v>0.1429</v>
      </c>
      <c r="N15" s="137">
        <f t="shared" si="2"/>
        <v>895.983</v>
      </c>
      <c r="O15" s="65">
        <f t="shared" si="2"/>
        <v>0</v>
      </c>
      <c r="P15" s="137">
        <f t="shared" si="2"/>
        <v>0</v>
      </c>
      <c r="Q15" s="167">
        <f t="shared" si="2"/>
        <v>0</v>
      </c>
      <c r="R15" s="137">
        <f t="shared" si="2"/>
        <v>0</v>
      </c>
      <c r="S15" s="137">
        <f t="shared" si="2"/>
        <v>0</v>
      </c>
      <c r="T15" s="137">
        <f t="shared" si="2"/>
        <v>0</v>
      </c>
      <c r="U15" s="137">
        <f t="shared" si="2"/>
        <v>934.8716468</v>
      </c>
    </row>
    <row r="16" spans="1:21" ht="15" outlineLevel="2">
      <c r="A16" s="6" t="s">
        <v>292</v>
      </c>
      <c r="B16" s="7" t="s">
        <v>271</v>
      </c>
      <c r="C16" s="7" t="s">
        <v>293</v>
      </c>
      <c r="D16" s="8" t="s">
        <v>294</v>
      </c>
      <c r="E16" s="42" t="s">
        <v>295</v>
      </c>
      <c r="F16" s="39" t="s">
        <v>53</v>
      </c>
      <c r="G16" s="24" t="s">
        <v>62</v>
      </c>
      <c r="H16" s="136">
        <v>1817.337048800001</v>
      </c>
      <c r="I16" s="149">
        <v>5382</v>
      </c>
      <c r="J16" s="136">
        <f>I16*$J$1</f>
        <v>538.2</v>
      </c>
      <c r="K16" s="136">
        <v>15</v>
      </c>
      <c r="L16" s="139"/>
      <c r="M16" s="139"/>
      <c r="N16" s="136"/>
      <c r="O16" s="11"/>
      <c r="P16" s="136"/>
      <c r="Q16" s="140"/>
      <c r="R16" s="136"/>
      <c r="S16" s="136"/>
      <c r="T16" s="136"/>
      <c r="U16" s="136">
        <f aca="true" t="shared" si="3" ref="U16:U24">H16+J16+K16+N16+P16+R16+S16+T16</f>
        <v>2370.537048800001</v>
      </c>
    </row>
    <row r="17" spans="1:21" ht="15" outlineLevel="2">
      <c r="A17" s="6" t="s">
        <v>292</v>
      </c>
      <c r="B17" s="7" t="s">
        <v>271</v>
      </c>
      <c r="C17" s="7" t="s">
        <v>293</v>
      </c>
      <c r="D17" s="8" t="s">
        <v>294</v>
      </c>
      <c r="E17" s="42" t="s">
        <v>295</v>
      </c>
      <c r="F17" s="39" t="s">
        <v>53</v>
      </c>
      <c r="G17" s="24" t="s">
        <v>63</v>
      </c>
      <c r="H17" s="136">
        <v>287.9130534000001</v>
      </c>
      <c r="I17" s="149">
        <v>115</v>
      </c>
      <c r="J17" s="136">
        <f aca="true" t="shared" si="4" ref="J17:J22">I17*$J$2</f>
        <v>6.8999999999999995</v>
      </c>
      <c r="K17" s="136">
        <v>0</v>
      </c>
      <c r="L17" s="139"/>
      <c r="M17" s="139"/>
      <c r="N17" s="136"/>
      <c r="O17" s="11"/>
      <c r="P17" s="136"/>
      <c r="Q17" s="140"/>
      <c r="R17" s="136"/>
      <c r="S17" s="136"/>
      <c r="T17" s="136"/>
      <c r="U17" s="136">
        <f t="shared" si="3"/>
        <v>294.81305340000006</v>
      </c>
    </row>
    <row r="18" spans="1:21" ht="15" outlineLevel="2">
      <c r="A18" s="6" t="s">
        <v>292</v>
      </c>
      <c r="B18" s="7" t="s">
        <v>271</v>
      </c>
      <c r="C18" s="7" t="s">
        <v>293</v>
      </c>
      <c r="D18" s="8" t="s">
        <v>294</v>
      </c>
      <c r="E18" s="42" t="s">
        <v>295</v>
      </c>
      <c r="F18" s="39" t="s">
        <v>53</v>
      </c>
      <c r="G18" s="24" t="s">
        <v>246</v>
      </c>
      <c r="H18" s="136">
        <v>1.0486</v>
      </c>
      <c r="I18" s="149">
        <v>1</v>
      </c>
      <c r="J18" s="136">
        <f t="shared" si="4"/>
        <v>0.06</v>
      </c>
      <c r="K18" s="136">
        <v>0</v>
      </c>
      <c r="L18" s="139"/>
      <c r="M18" s="139"/>
      <c r="N18" s="136"/>
      <c r="O18" s="11"/>
      <c r="P18" s="136"/>
      <c r="Q18" s="140"/>
      <c r="R18" s="136"/>
      <c r="S18" s="136"/>
      <c r="T18" s="136"/>
      <c r="U18" s="136">
        <f t="shared" si="3"/>
        <v>1.1086</v>
      </c>
    </row>
    <row r="19" spans="1:21" ht="15" outlineLevel="2">
      <c r="A19" s="6" t="s">
        <v>292</v>
      </c>
      <c r="B19" s="7" t="s">
        <v>271</v>
      </c>
      <c r="C19" s="7" t="s">
        <v>293</v>
      </c>
      <c r="D19" s="8" t="s">
        <v>294</v>
      </c>
      <c r="E19" s="42" t="s">
        <v>295</v>
      </c>
      <c r="F19" s="39" t="s">
        <v>53</v>
      </c>
      <c r="G19" s="24" t="s">
        <v>64</v>
      </c>
      <c r="H19" s="136">
        <v>254.77414759999996</v>
      </c>
      <c r="I19" s="149">
        <v>223</v>
      </c>
      <c r="J19" s="136">
        <f t="shared" si="4"/>
        <v>13.379999999999999</v>
      </c>
      <c r="K19" s="136">
        <v>45</v>
      </c>
      <c r="L19" s="139"/>
      <c r="M19" s="139"/>
      <c r="N19" s="136"/>
      <c r="O19" s="11"/>
      <c r="P19" s="136"/>
      <c r="Q19" s="140"/>
      <c r="R19" s="136"/>
      <c r="S19" s="136"/>
      <c r="T19" s="136"/>
      <c r="U19" s="136">
        <f t="shared" si="3"/>
        <v>313.1541476</v>
      </c>
    </row>
    <row r="20" spans="1:21" ht="15" outlineLevel="2">
      <c r="A20" s="6" t="s">
        <v>292</v>
      </c>
      <c r="B20" s="7" t="s">
        <v>271</v>
      </c>
      <c r="C20" s="7" t="s">
        <v>293</v>
      </c>
      <c r="D20" s="8" t="s">
        <v>294</v>
      </c>
      <c r="E20" s="42" t="s">
        <v>295</v>
      </c>
      <c r="F20" s="39" t="s">
        <v>53</v>
      </c>
      <c r="G20" s="24" t="s">
        <v>65</v>
      </c>
      <c r="H20" s="136">
        <v>123.37408160000004</v>
      </c>
      <c r="I20" s="149">
        <v>242</v>
      </c>
      <c r="J20" s="136">
        <f t="shared" si="4"/>
        <v>14.52</v>
      </c>
      <c r="K20" s="136">
        <v>60</v>
      </c>
      <c r="L20" s="139"/>
      <c r="M20" s="139"/>
      <c r="N20" s="136"/>
      <c r="O20" s="11"/>
      <c r="P20" s="136"/>
      <c r="Q20" s="140"/>
      <c r="R20" s="136"/>
      <c r="S20" s="136"/>
      <c r="T20" s="136"/>
      <c r="U20" s="136">
        <f t="shared" si="3"/>
        <v>197.89408160000005</v>
      </c>
    </row>
    <row r="21" spans="1:21" ht="15" outlineLevel="2">
      <c r="A21" s="6" t="s">
        <v>292</v>
      </c>
      <c r="B21" s="7" t="s">
        <v>271</v>
      </c>
      <c r="C21" s="7" t="s">
        <v>293</v>
      </c>
      <c r="D21" s="8" t="s">
        <v>294</v>
      </c>
      <c r="E21" s="42" t="s">
        <v>295</v>
      </c>
      <c r="F21" s="39" t="s">
        <v>53</v>
      </c>
      <c r="G21" s="24" t="s">
        <v>66</v>
      </c>
      <c r="H21" s="136">
        <v>235.67914160000004</v>
      </c>
      <c r="I21" s="149">
        <v>246</v>
      </c>
      <c r="J21" s="136">
        <f t="shared" si="4"/>
        <v>14.76</v>
      </c>
      <c r="K21" s="136">
        <v>60</v>
      </c>
      <c r="L21" s="139"/>
      <c r="M21" s="139"/>
      <c r="N21" s="136"/>
      <c r="O21" s="11"/>
      <c r="P21" s="136"/>
      <c r="Q21" s="140"/>
      <c r="R21" s="136"/>
      <c r="S21" s="136"/>
      <c r="T21" s="136"/>
      <c r="U21" s="136">
        <f t="shared" si="3"/>
        <v>310.4391416</v>
      </c>
    </row>
    <row r="22" spans="1:21" ht="15" outlineLevel="2">
      <c r="A22" s="6" t="s">
        <v>292</v>
      </c>
      <c r="B22" s="7" t="s">
        <v>271</v>
      </c>
      <c r="C22" s="7" t="s">
        <v>293</v>
      </c>
      <c r="D22" s="8" t="s">
        <v>294</v>
      </c>
      <c r="E22" s="42" t="s">
        <v>295</v>
      </c>
      <c r="F22" s="39" t="s">
        <v>53</v>
      </c>
      <c r="G22" s="24" t="s">
        <v>167</v>
      </c>
      <c r="H22" s="136">
        <v>19.378128</v>
      </c>
      <c r="I22" s="149">
        <v>21</v>
      </c>
      <c r="J22" s="136">
        <f t="shared" si="4"/>
        <v>1.26</v>
      </c>
      <c r="K22" s="136">
        <v>0</v>
      </c>
      <c r="L22" s="139"/>
      <c r="M22" s="139"/>
      <c r="N22" s="136"/>
      <c r="O22" s="11"/>
      <c r="P22" s="136"/>
      <c r="Q22" s="140"/>
      <c r="R22" s="136"/>
      <c r="S22" s="136"/>
      <c r="T22" s="136"/>
      <c r="U22" s="136">
        <f t="shared" si="3"/>
        <v>20.638128000000002</v>
      </c>
    </row>
    <row r="23" spans="1:21" ht="15" outlineLevel="2">
      <c r="A23" s="6" t="str">
        <f>A22</f>
        <v>M322</v>
      </c>
      <c r="B23" s="11" t="str">
        <f>B22</f>
        <v>MCSO</v>
      </c>
      <c r="C23" s="11" t="str">
        <f>C22</f>
        <v>EXECUTIVE</v>
      </c>
      <c r="D23" s="13" t="str">
        <f>D22</f>
        <v>600001</v>
      </c>
      <c r="E23" s="24" t="str">
        <f>E22</f>
        <v>60-00</v>
      </c>
      <c r="F23" s="39" t="s">
        <v>585</v>
      </c>
      <c r="G23" s="24" t="s">
        <v>585</v>
      </c>
      <c r="H23" s="136"/>
      <c r="I23" s="149"/>
      <c r="J23" s="136"/>
      <c r="K23" s="136"/>
      <c r="L23" s="139">
        <v>4</v>
      </c>
      <c r="M23" s="139">
        <v>1</v>
      </c>
      <c r="N23" s="136">
        <f>L23*M23*$N$2</f>
        <v>12540</v>
      </c>
      <c r="O23" s="11"/>
      <c r="P23" s="136"/>
      <c r="Q23" s="140"/>
      <c r="R23" s="136"/>
      <c r="S23" s="136"/>
      <c r="T23" s="136"/>
      <c r="U23" s="136">
        <f t="shared" si="3"/>
        <v>12540</v>
      </c>
    </row>
    <row r="24" spans="1:21" ht="15" outlineLevel="2">
      <c r="A24" s="28" t="s">
        <v>292</v>
      </c>
      <c r="B24" s="11" t="str">
        <f>B23</f>
        <v>MCSO</v>
      </c>
      <c r="C24" s="11" t="str">
        <f>C23</f>
        <v>EXECUTIVE</v>
      </c>
      <c r="D24" s="13" t="str">
        <f>D23</f>
        <v>600001</v>
      </c>
      <c r="E24" s="38" t="str">
        <f>E23</f>
        <v>60-00</v>
      </c>
      <c r="F24" s="20" t="s">
        <v>615</v>
      </c>
      <c r="G24" s="11" t="s">
        <v>615</v>
      </c>
      <c r="H24" s="136"/>
      <c r="I24" s="140"/>
      <c r="J24" s="136"/>
      <c r="K24" s="136"/>
      <c r="L24" s="139"/>
      <c r="M24" s="139"/>
      <c r="N24" s="136"/>
      <c r="O24" s="29">
        <v>1.25</v>
      </c>
      <c r="P24" s="136">
        <f>O24*$P$2</f>
        <v>90</v>
      </c>
      <c r="Q24" s="140"/>
      <c r="R24" s="136"/>
      <c r="S24" s="136"/>
      <c r="T24" s="136"/>
      <c r="U24" s="136">
        <f t="shared" si="3"/>
        <v>90</v>
      </c>
    </row>
    <row r="25" spans="1:21" s="5" customFormat="1" ht="15.75" outlineLevel="1">
      <c r="A25" s="64" t="s">
        <v>967</v>
      </c>
      <c r="B25" s="45"/>
      <c r="C25" s="45"/>
      <c r="D25" s="61"/>
      <c r="E25" s="52"/>
      <c r="F25" s="51"/>
      <c r="G25" s="45"/>
      <c r="H25" s="137">
        <f aca="true" t="shared" si="5" ref="H25:U25">SUBTOTAL(9,H16:H24)</f>
        <v>2739.504201000001</v>
      </c>
      <c r="I25" s="167">
        <f t="shared" si="5"/>
        <v>6230</v>
      </c>
      <c r="J25" s="137">
        <f t="shared" si="5"/>
        <v>589.0799999999999</v>
      </c>
      <c r="K25" s="137">
        <f t="shared" si="5"/>
        <v>180</v>
      </c>
      <c r="L25" s="141">
        <f t="shared" si="5"/>
        <v>4</v>
      </c>
      <c r="M25" s="141">
        <f t="shared" si="5"/>
        <v>1</v>
      </c>
      <c r="N25" s="137">
        <f t="shared" si="5"/>
        <v>12540</v>
      </c>
      <c r="O25" s="65">
        <f t="shared" si="5"/>
        <v>1.25</v>
      </c>
      <c r="P25" s="137">
        <f t="shared" si="5"/>
        <v>90</v>
      </c>
      <c r="Q25" s="167">
        <f t="shared" si="5"/>
        <v>0</v>
      </c>
      <c r="R25" s="137">
        <f t="shared" si="5"/>
        <v>0</v>
      </c>
      <c r="S25" s="137">
        <f t="shared" si="5"/>
        <v>0</v>
      </c>
      <c r="T25" s="137">
        <f t="shared" si="5"/>
        <v>0</v>
      </c>
      <c r="U25" s="137">
        <f t="shared" si="5"/>
        <v>16138.584201000001</v>
      </c>
    </row>
    <row r="26" spans="1:21" ht="15" outlineLevel="2">
      <c r="A26" s="6" t="s">
        <v>296</v>
      </c>
      <c r="B26" s="7" t="s">
        <v>271</v>
      </c>
      <c r="C26" s="42" t="s">
        <v>33</v>
      </c>
      <c r="D26" s="8" t="s">
        <v>297</v>
      </c>
      <c r="E26" s="42" t="s">
        <v>298</v>
      </c>
      <c r="F26" s="39" t="s">
        <v>53</v>
      </c>
      <c r="G26" s="24" t="s">
        <v>62</v>
      </c>
      <c r="H26" s="136">
        <v>5658.930335799989</v>
      </c>
      <c r="I26" s="149">
        <v>17079</v>
      </c>
      <c r="J26" s="136">
        <f>I26*$J$1</f>
        <v>1707.9</v>
      </c>
      <c r="K26" s="136">
        <v>0</v>
      </c>
      <c r="L26" s="139"/>
      <c r="M26" s="139"/>
      <c r="N26" s="136"/>
      <c r="O26" s="11"/>
      <c r="P26" s="136"/>
      <c r="Q26" s="140"/>
      <c r="R26" s="136"/>
      <c r="S26" s="136"/>
      <c r="T26" s="136"/>
      <c r="U26" s="136">
        <f aca="true" t="shared" si="6" ref="U26:U34">H26+J26+K26+N26+P26+R26+S26+T26</f>
        <v>7366.8303357999885</v>
      </c>
    </row>
    <row r="27" spans="1:21" ht="15" outlineLevel="2">
      <c r="A27" s="6" t="s">
        <v>296</v>
      </c>
      <c r="B27" s="7" t="s">
        <v>271</v>
      </c>
      <c r="C27" s="42" t="s">
        <v>33</v>
      </c>
      <c r="D27" s="8" t="s">
        <v>297</v>
      </c>
      <c r="E27" s="42" t="s">
        <v>298</v>
      </c>
      <c r="F27" s="39" t="s">
        <v>53</v>
      </c>
      <c r="G27" s="24" t="s">
        <v>63</v>
      </c>
      <c r="H27" s="136">
        <v>1046.387454</v>
      </c>
      <c r="I27" s="149">
        <v>374</v>
      </c>
      <c r="J27" s="136">
        <f>I27*$J$2</f>
        <v>22.439999999999998</v>
      </c>
      <c r="K27" s="136">
        <v>0</v>
      </c>
      <c r="L27" s="139"/>
      <c r="M27" s="139"/>
      <c r="N27" s="136"/>
      <c r="O27" s="11"/>
      <c r="P27" s="136"/>
      <c r="Q27" s="140"/>
      <c r="R27" s="136"/>
      <c r="S27" s="136"/>
      <c r="T27" s="136"/>
      <c r="U27" s="136">
        <f t="shared" si="6"/>
        <v>1068.827454</v>
      </c>
    </row>
    <row r="28" spans="1:21" ht="15" outlineLevel="2">
      <c r="A28" s="6" t="s">
        <v>296</v>
      </c>
      <c r="B28" s="7" t="s">
        <v>271</v>
      </c>
      <c r="C28" s="42" t="s">
        <v>33</v>
      </c>
      <c r="D28" s="8" t="s">
        <v>297</v>
      </c>
      <c r="E28" s="42" t="s">
        <v>298</v>
      </c>
      <c r="F28" s="39" t="s">
        <v>53</v>
      </c>
      <c r="G28" s="24" t="s">
        <v>64</v>
      </c>
      <c r="H28" s="136">
        <v>1967.6465185999994</v>
      </c>
      <c r="I28" s="149">
        <v>1572</v>
      </c>
      <c r="J28" s="136">
        <f>I28*$J$2</f>
        <v>94.32</v>
      </c>
      <c r="K28" s="136">
        <v>15</v>
      </c>
      <c r="L28" s="139"/>
      <c r="M28" s="139"/>
      <c r="N28" s="136"/>
      <c r="O28" s="11"/>
      <c r="P28" s="136"/>
      <c r="Q28" s="140"/>
      <c r="R28" s="136"/>
      <c r="S28" s="136"/>
      <c r="T28" s="136"/>
      <c r="U28" s="136">
        <f t="shared" si="6"/>
        <v>2076.9665185999993</v>
      </c>
    </row>
    <row r="29" spans="1:21" ht="15" outlineLevel="2">
      <c r="A29" s="6" t="s">
        <v>296</v>
      </c>
      <c r="B29" s="7" t="s">
        <v>271</v>
      </c>
      <c r="C29" s="42" t="s">
        <v>33</v>
      </c>
      <c r="D29" s="8" t="s">
        <v>297</v>
      </c>
      <c r="E29" s="42" t="s">
        <v>298</v>
      </c>
      <c r="F29" s="39" t="s">
        <v>53</v>
      </c>
      <c r="G29" s="24" t="s">
        <v>65</v>
      </c>
      <c r="H29" s="136">
        <v>1787.367012200001</v>
      </c>
      <c r="I29" s="149">
        <v>1936</v>
      </c>
      <c r="J29" s="136">
        <f>I29*$J$2</f>
        <v>116.16</v>
      </c>
      <c r="K29" s="136">
        <v>75</v>
      </c>
      <c r="L29" s="139"/>
      <c r="M29" s="139"/>
      <c r="N29" s="136"/>
      <c r="O29" s="11"/>
      <c r="P29" s="136"/>
      <c r="Q29" s="140"/>
      <c r="R29" s="136"/>
      <c r="S29" s="136"/>
      <c r="T29" s="136"/>
      <c r="U29" s="136">
        <f t="shared" si="6"/>
        <v>1978.527012200001</v>
      </c>
    </row>
    <row r="30" spans="1:21" ht="15" outlineLevel="2">
      <c r="A30" s="6" t="s">
        <v>296</v>
      </c>
      <c r="B30" s="7" t="s">
        <v>271</v>
      </c>
      <c r="C30" s="42" t="s">
        <v>33</v>
      </c>
      <c r="D30" s="8" t="s">
        <v>297</v>
      </c>
      <c r="E30" s="42" t="s">
        <v>298</v>
      </c>
      <c r="F30" s="39" t="s">
        <v>53</v>
      </c>
      <c r="G30" s="24" t="s">
        <v>66</v>
      </c>
      <c r="H30" s="136">
        <v>669.4440662000002</v>
      </c>
      <c r="I30" s="149">
        <v>682</v>
      </c>
      <c r="J30" s="136">
        <f>I30*$J$2</f>
        <v>40.92</v>
      </c>
      <c r="K30" s="136">
        <v>90</v>
      </c>
      <c r="L30" s="139"/>
      <c r="M30" s="139"/>
      <c r="N30" s="136"/>
      <c r="O30" s="11"/>
      <c r="P30" s="136"/>
      <c r="Q30" s="140"/>
      <c r="R30" s="136"/>
      <c r="S30" s="136"/>
      <c r="T30" s="136"/>
      <c r="U30" s="136">
        <f t="shared" si="6"/>
        <v>800.3640662000001</v>
      </c>
    </row>
    <row r="31" spans="1:21" ht="15" outlineLevel="2">
      <c r="A31" s="6" t="s">
        <v>296</v>
      </c>
      <c r="B31" s="7" t="s">
        <v>271</v>
      </c>
      <c r="C31" s="42" t="s">
        <v>33</v>
      </c>
      <c r="D31" s="8" t="s">
        <v>297</v>
      </c>
      <c r="E31" s="42" t="s">
        <v>298</v>
      </c>
      <c r="F31" s="39" t="s">
        <v>53</v>
      </c>
      <c r="G31" s="24" t="s">
        <v>167</v>
      </c>
      <c r="H31" s="136">
        <v>8.4496188</v>
      </c>
      <c r="I31" s="149">
        <v>10</v>
      </c>
      <c r="J31" s="136">
        <f>I31*$J$2</f>
        <v>0.6</v>
      </c>
      <c r="K31" s="136">
        <v>0</v>
      </c>
      <c r="L31" s="139"/>
      <c r="M31" s="139"/>
      <c r="N31" s="136"/>
      <c r="O31" s="11"/>
      <c r="P31" s="136"/>
      <c r="Q31" s="140"/>
      <c r="R31" s="136"/>
      <c r="S31" s="136"/>
      <c r="T31" s="136"/>
      <c r="U31" s="136">
        <f t="shared" si="6"/>
        <v>9.0496188</v>
      </c>
    </row>
    <row r="32" spans="1:21" ht="15" outlineLevel="2">
      <c r="A32" s="6" t="str">
        <f>A31</f>
        <v>M323</v>
      </c>
      <c r="B32" s="11" t="str">
        <f>B31</f>
        <v>MCSO</v>
      </c>
      <c r="C32" s="42" t="s">
        <v>33</v>
      </c>
      <c r="D32" s="13" t="str">
        <f aca="true" t="shared" si="7" ref="D32:E34">D31</f>
        <v>601600</v>
      </c>
      <c r="E32" s="24" t="str">
        <f t="shared" si="7"/>
        <v>60-50</v>
      </c>
      <c r="F32" s="39" t="s">
        <v>585</v>
      </c>
      <c r="G32" s="24" t="s">
        <v>585</v>
      </c>
      <c r="H32" s="136"/>
      <c r="I32" s="149"/>
      <c r="J32" s="136"/>
      <c r="K32" s="136"/>
      <c r="L32" s="139">
        <v>2</v>
      </c>
      <c r="M32" s="139">
        <v>1</v>
      </c>
      <c r="N32" s="136">
        <f>L32*M32*$N$2</f>
        <v>6270</v>
      </c>
      <c r="O32" s="11"/>
      <c r="P32" s="136"/>
      <c r="Q32" s="140"/>
      <c r="R32" s="136"/>
      <c r="S32" s="136"/>
      <c r="T32" s="136"/>
      <c r="U32" s="136">
        <f t="shared" si="6"/>
        <v>6270</v>
      </c>
    </row>
    <row r="33" spans="1:21" ht="15" outlineLevel="2">
      <c r="A33" s="28" t="s">
        <v>296</v>
      </c>
      <c r="B33" s="11" t="str">
        <f>B32</f>
        <v>MCSO</v>
      </c>
      <c r="C33" s="11" t="str">
        <f>C32</f>
        <v>MCSO-Enforcement-Administration</v>
      </c>
      <c r="D33" s="13" t="str">
        <f t="shared" si="7"/>
        <v>601600</v>
      </c>
      <c r="E33" s="38" t="str">
        <f t="shared" si="7"/>
        <v>60-50</v>
      </c>
      <c r="F33" s="20" t="s">
        <v>615</v>
      </c>
      <c r="G33" s="11" t="s">
        <v>615</v>
      </c>
      <c r="H33" s="136"/>
      <c r="I33" s="140"/>
      <c r="J33" s="136"/>
      <c r="K33" s="136"/>
      <c r="L33" s="139"/>
      <c r="M33" s="139"/>
      <c r="N33" s="136"/>
      <c r="O33" s="29">
        <f>4.75+2.5</f>
        <v>7.25</v>
      </c>
      <c r="P33" s="136">
        <f>O33*$P$2</f>
        <v>522</v>
      </c>
      <c r="Q33" s="140"/>
      <c r="R33" s="136"/>
      <c r="S33" s="136"/>
      <c r="T33" s="136"/>
      <c r="U33" s="136">
        <f t="shared" si="6"/>
        <v>522</v>
      </c>
    </row>
    <row r="34" spans="1:21" ht="15" outlineLevel="2">
      <c r="A34" s="36" t="s">
        <v>658</v>
      </c>
      <c r="B34" s="11" t="str">
        <f>B33</f>
        <v>MCSO</v>
      </c>
      <c r="C34" s="11" t="str">
        <f>C33</f>
        <v>MCSO-Enforcement-Administration</v>
      </c>
      <c r="D34" s="13" t="str">
        <f t="shared" si="7"/>
        <v>601600</v>
      </c>
      <c r="E34" s="27" t="str">
        <f t="shared" si="7"/>
        <v>60-50</v>
      </c>
      <c r="F34" s="20" t="s">
        <v>683</v>
      </c>
      <c r="G34" s="11" t="s">
        <v>683</v>
      </c>
      <c r="H34" s="136"/>
      <c r="I34" s="140"/>
      <c r="J34" s="136"/>
      <c r="K34" s="136"/>
      <c r="L34" s="139"/>
      <c r="M34" s="139"/>
      <c r="N34" s="136"/>
      <c r="O34" s="34"/>
      <c r="P34" s="136"/>
      <c r="Q34" s="140"/>
      <c r="R34" s="136"/>
      <c r="S34" s="136"/>
      <c r="T34" s="150">
        <f>11.72+4.98+7.11</f>
        <v>23.810000000000002</v>
      </c>
      <c r="U34" s="136">
        <f t="shared" si="6"/>
        <v>23.810000000000002</v>
      </c>
    </row>
    <row r="35" spans="1:21" s="5" customFormat="1" ht="15.75" outlineLevel="1">
      <c r="A35" s="64" t="s">
        <v>968</v>
      </c>
      <c r="B35" s="45"/>
      <c r="C35" s="45"/>
      <c r="D35" s="61"/>
      <c r="E35" s="52"/>
      <c r="F35" s="51"/>
      <c r="G35" s="45"/>
      <c r="H35" s="137">
        <f aca="true" t="shared" si="8" ref="H35:U35">SUBTOTAL(9,H26:H34)</f>
        <v>11138.225005599987</v>
      </c>
      <c r="I35" s="167">
        <f t="shared" si="8"/>
        <v>21653</v>
      </c>
      <c r="J35" s="137">
        <f t="shared" si="8"/>
        <v>1982.3400000000001</v>
      </c>
      <c r="K35" s="137">
        <f t="shared" si="8"/>
        <v>180</v>
      </c>
      <c r="L35" s="141">
        <f t="shared" si="8"/>
        <v>2</v>
      </c>
      <c r="M35" s="141">
        <f t="shared" si="8"/>
        <v>1</v>
      </c>
      <c r="N35" s="137">
        <f t="shared" si="8"/>
        <v>6270</v>
      </c>
      <c r="O35" s="65">
        <f t="shared" si="8"/>
        <v>7.25</v>
      </c>
      <c r="P35" s="137">
        <f t="shared" si="8"/>
        <v>522</v>
      </c>
      <c r="Q35" s="167">
        <f t="shared" si="8"/>
        <v>0</v>
      </c>
      <c r="R35" s="137">
        <f t="shared" si="8"/>
        <v>0</v>
      </c>
      <c r="S35" s="137">
        <f t="shared" si="8"/>
        <v>0</v>
      </c>
      <c r="T35" s="137">
        <f t="shared" si="8"/>
        <v>23.810000000000002</v>
      </c>
      <c r="U35" s="137">
        <f t="shared" si="8"/>
        <v>20116.375005599988</v>
      </c>
    </row>
    <row r="36" spans="1:21" ht="15" outlineLevel="2">
      <c r="A36" s="6" t="s">
        <v>299</v>
      </c>
      <c r="B36" s="7" t="s">
        <v>271</v>
      </c>
      <c r="C36" s="7" t="s">
        <v>300</v>
      </c>
      <c r="D36" s="8" t="s">
        <v>301</v>
      </c>
      <c r="E36" s="42" t="s">
        <v>298</v>
      </c>
      <c r="F36" s="39" t="s">
        <v>53</v>
      </c>
      <c r="G36" s="24" t="s">
        <v>62</v>
      </c>
      <c r="H36" s="136">
        <v>6091.036375199999</v>
      </c>
      <c r="I36" s="149">
        <v>17881</v>
      </c>
      <c r="J36" s="136">
        <f>I36*$J$1</f>
        <v>1788.1000000000001</v>
      </c>
      <c r="K36" s="136">
        <v>90</v>
      </c>
      <c r="L36" s="139"/>
      <c r="M36" s="139"/>
      <c r="N36" s="136"/>
      <c r="O36" s="11"/>
      <c r="P36" s="136"/>
      <c r="Q36" s="140"/>
      <c r="R36" s="136"/>
      <c r="S36" s="136"/>
      <c r="T36" s="136"/>
      <c r="U36" s="136">
        <f aca="true" t="shared" si="9" ref="U36:U41">H36+J36+K36+N36+P36+R36+S36+T36</f>
        <v>7969.1363752</v>
      </c>
    </row>
    <row r="37" spans="1:21" ht="15" outlineLevel="2">
      <c r="A37" s="6" t="s">
        <v>299</v>
      </c>
      <c r="B37" s="7" t="s">
        <v>271</v>
      </c>
      <c r="C37" s="7" t="s">
        <v>300</v>
      </c>
      <c r="D37" s="8" t="s">
        <v>301</v>
      </c>
      <c r="E37" s="42" t="s">
        <v>298</v>
      </c>
      <c r="F37" s="39" t="s">
        <v>53</v>
      </c>
      <c r="G37" s="11" t="s">
        <v>63</v>
      </c>
      <c r="H37" s="136">
        <v>70.93779</v>
      </c>
      <c r="I37" s="140">
        <v>31</v>
      </c>
      <c r="J37" s="136">
        <f>I37*$J$2</f>
        <v>1.8599999999999999</v>
      </c>
      <c r="K37" s="136">
        <v>0</v>
      </c>
      <c r="L37" s="139"/>
      <c r="M37" s="139"/>
      <c r="N37" s="136"/>
      <c r="O37" s="11"/>
      <c r="P37" s="136"/>
      <c r="Q37" s="140"/>
      <c r="R37" s="136"/>
      <c r="S37" s="136"/>
      <c r="T37" s="136"/>
      <c r="U37" s="136">
        <f t="shared" si="9"/>
        <v>72.79779</v>
      </c>
    </row>
    <row r="38" spans="1:21" ht="15" outlineLevel="2">
      <c r="A38" s="6" t="s">
        <v>299</v>
      </c>
      <c r="B38" s="7" t="s">
        <v>271</v>
      </c>
      <c r="C38" s="7" t="s">
        <v>300</v>
      </c>
      <c r="D38" s="8" t="s">
        <v>301</v>
      </c>
      <c r="E38" s="42" t="s">
        <v>298</v>
      </c>
      <c r="F38" s="39" t="s">
        <v>53</v>
      </c>
      <c r="G38" s="24" t="s">
        <v>64</v>
      </c>
      <c r="H38" s="136">
        <v>13.0519242</v>
      </c>
      <c r="I38" s="149">
        <v>15</v>
      </c>
      <c r="J38" s="136">
        <f>I38*$J$2</f>
        <v>0.8999999999999999</v>
      </c>
      <c r="K38" s="136">
        <v>0</v>
      </c>
      <c r="L38" s="139"/>
      <c r="M38" s="139"/>
      <c r="N38" s="136"/>
      <c r="O38" s="11"/>
      <c r="P38" s="136"/>
      <c r="Q38" s="140"/>
      <c r="R38" s="136"/>
      <c r="S38" s="136"/>
      <c r="T38" s="136"/>
      <c r="U38" s="136">
        <f t="shared" si="9"/>
        <v>13.9519242</v>
      </c>
    </row>
    <row r="39" spans="1:21" ht="15" outlineLevel="2">
      <c r="A39" s="6" t="s">
        <v>299</v>
      </c>
      <c r="B39" s="7" t="s">
        <v>271</v>
      </c>
      <c r="C39" s="7" t="s">
        <v>300</v>
      </c>
      <c r="D39" s="8" t="s">
        <v>301</v>
      </c>
      <c r="E39" s="42" t="s">
        <v>298</v>
      </c>
      <c r="F39" s="39" t="s">
        <v>53</v>
      </c>
      <c r="G39" s="24" t="s">
        <v>65</v>
      </c>
      <c r="H39" s="136">
        <v>712.9976672000001</v>
      </c>
      <c r="I39" s="149">
        <v>1548</v>
      </c>
      <c r="J39" s="136">
        <f>I39*$J$2</f>
        <v>92.88</v>
      </c>
      <c r="K39" s="136">
        <v>90</v>
      </c>
      <c r="L39" s="139"/>
      <c r="M39" s="139"/>
      <c r="N39" s="136"/>
      <c r="O39" s="11"/>
      <c r="P39" s="136"/>
      <c r="Q39" s="140"/>
      <c r="R39" s="136"/>
      <c r="S39" s="136"/>
      <c r="T39" s="136"/>
      <c r="U39" s="136">
        <f t="shared" si="9"/>
        <v>895.8776672000001</v>
      </c>
    </row>
    <row r="40" spans="1:21" ht="15" outlineLevel="2">
      <c r="A40" s="6" t="s">
        <v>299</v>
      </c>
      <c r="B40" s="7" t="s">
        <v>271</v>
      </c>
      <c r="C40" s="7" t="s">
        <v>300</v>
      </c>
      <c r="D40" s="8" t="s">
        <v>301</v>
      </c>
      <c r="E40" s="42" t="s">
        <v>298</v>
      </c>
      <c r="F40" s="39" t="s">
        <v>53</v>
      </c>
      <c r="G40" s="24" t="s">
        <v>66</v>
      </c>
      <c r="H40" s="136">
        <v>2.0007288</v>
      </c>
      <c r="I40" s="149">
        <v>2</v>
      </c>
      <c r="J40" s="136">
        <f>I40*$J$2</f>
        <v>0.12</v>
      </c>
      <c r="K40" s="136">
        <v>0</v>
      </c>
      <c r="L40" s="139"/>
      <c r="M40" s="139"/>
      <c r="N40" s="136"/>
      <c r="O40" s="11"/>
      <c r="P40" s="136"/>
      <c r="Q40" s="140"/>
      <c r="R40" s="136"/>
      <c r="S40" s="136"/>
      <c r="T40" s="136"/>
      <c r="U40" s="136">
        <f t="shared" si="9"/>
        <v>2.1207288</v>
      </c>
    </row>
    <row r="41" spans="1:21" ht="15" outlineLevel="2">
      <c r="A41" s="6" t="s">
        <v>299</v>
      </c>
      <c r="B41" s="7" t="s">
        <v>271</v>
      </c>
      <c r="C41" s="7" t="s">
        <v>300</v>
      </c>
      <c r="D41" s="8" t="s">
        <v>301</v>
      </c>
      <c r="E41" s="42" t="s">
        <v>298</v>
      </c>
      <c r="F41" s="39" t="s">
        <v>53</v>
      </c>
      <c r="G41" s="24" t="s">
        <v>167</v>
      </c>
      <c r="H41" s="136">
        <v>1.7626966</v>
      </c>
      <c r="I41" s="149">
        <v>2</v>
      </c>
      <c r="J41" s="136">
        <f>I41*$J$2</f>
        <v>0.12</v>
      </c>
      <c r="K41" s="136">
        <v>0</v>
      </c>
      <c r="L41" s="139"/>
      <c r="M41" s="139"/>
      <c r="N41" s="136"/>
      <c r="O41" s="11"/>
      <c r="P41" s="136"/>
      <c r="Q41" s="140"/>
      <c r="R41" s="136"/>
      <c r="S41" s="136"/>
      <c r="T41" s="136"/>
      <c r="U41" s="136">
        <f t="shared" si="9"/>
        <v>1.8826966</v>
      </c>
    </row>
    <row r="42" spans="1:21" s="5" customFormat="1" ht="15.75" outlineLevel="1">
      <c r="A42" s="64" t="s">
        <v>969</v>
      </c>
      <c r="B42" s="45"/>
      <c r="C42" s="45"/>
      <c r="D42" s="61"/>
      <c r="E42" s="52"/>
      <c r="F42" s="51"/>
      <c r="G42" s="45"/>
      <c r="H42" s="137">
        <f aca="true" t="shared" si="10" ref="H42:U42">SUBTOTAL(9,H36:H41)</f>
        <v>6891.787181999999</v>
      </c>
      <c r="I42" s="167">
        <f t="shared" si="10"/>
        <v>19479</v>
      </c>
      <c r="J42" s="137">
        <f t="shared" si="10"/>
        <v>1883.98</v>
      </c>
      <c r="K42" s="137">
        <f t="shared" si="10"/>
        <v>180</v>
      </c>
      <c r="L42" s="141">
        <f t="shared" si="10"/>
        <v>0</v>
      </c>
      <c r="M42" s="141">
        <f t="shared" si="10"/>
        <v>0</v>
      </c>
      <c r="N42" s="137">
        <f t="shared" si="10"/>
        <v>0</v>
      </c>
      <c r="O42" s="65">
        <f t="shared" si="10"/>
        <v>0</v>
      </c>
      <c r="P42" s="137">
        <f t="shared" si="10"/>
        <v>0</v>
      </c>
      <c r="Q42" s="167">
        <f t="shared" si="10"/>
        <v>0</v>
      </c>
      <c r="R42" s="137">
        <f t="shared" si="10"/>
        <v>0</v>
      </c>
      <c r="S42" s="137">
        <f t="shared" si="10"/>
        <v>0</v>
      </c>
      <c r="T42" s="137">
        <f t="shared" si="10"/>
        <v>0</v>
      </c>
      <c r="U42" s="137">
        <f t="shared" si="10"/>
        <v>8955.767182</v>
      </c>
    </row>
    <row r="43" spans="1:21" ht="15" outlineLevel="2">
      <c r="A43" s="6" t="s">
        <v>302</v>
      </c>
      <c r="B43" s="7" t="s">
        <v>271</v>
      </c>
      <c r="C43" s="42" t="s">
        <v>34</v>
      </c>
      <c r="D43" s="8" t="s">
        <v>303</v>
      </c>
      <c r="E43" s="42" t="s">
        <v>298</v>
      </c>
      <c r="F43" s="39" t="s">
        <v>53</v>
      </c>
      <c r="G43" s="24" t="s">
        <v>62</v>
      </c>
      <c r="H43" s="136">
        <v>1043.256334400001</v>
      </c>
      <c r="I43" s="149">
        <v>3168</v>
      </c>
      <c r="J43" s="136">
        <f>I43*$J$1</f>
        <v>316.8</v>
      </c>
      <c r="K43" s="136">
        <v>60</v>
      </c>
      <c r="L43" s="139"/>
      <c r="M43" s="139"/>
      <c r="N43" s="136"/>
      <c r="O43" s="11"/>
      <c r="P43" s="136"/>
      <c r="Q43" s="140"/>
      <c r="R43" s="136"/>
      <c r="S43" s="136"/>
      <c r="T43" s="136"/>
      <c r="U43" s="136">
        <f aca="true" t="shared" si="11" ref="U43:U49">H43+J43+K43+N43+P43+R43+S43+T43</f>
        <v>1420.0563344000009</v>
      </c>
    </row>
    <row r="44" spans="1:21" ht="15" outlineLevel="2">
      <c r="A44" s="6" t="s">
        <v>302</v>
      </c>
      <c r="B44" s="7" t="s">
        <v>271</v>
      </c>
      <c r="C44" s="42" t="s">
        <v>34</v>
      </c>
      <c r="D44" s="8" t="s">
        <v>303</v>
      </c>
      <c r="E44" s="42" t="s">
        <v>298</v>
      </c>
      <c r="F44" s="39" t="s">
        <v>53</v>
      </c>
      <c r="G44" s="24" t="s">
        <v>63</v>
      </c>
      <c r="H44" s="136">
        <v>32.947012</v>
      </c>
      <c r="I44" s="149">
        <v>14</v>
      </c>
      <c r="J44" s="136">
        <f>I44*$J$2</f>
        <v>0.84</v>
      </c>
      <c r="K44" s="136">
        <v>15</v>
      </c>
      <c r="L44" s="139"/>
      <c r="M44" s="139"/>
      <c r="N44" s="136"/>
      <c r="O44" s="11"/>
      <c r="P44" s="136"/>
      <c r="Q44" s="140"/>
      <c r="R44" s="136"/>
      <c r="S44" s="136"/>
      <c r="T44" s="136"/>
      <c r="U44" s="136">
        <f t="shared" si="11"/>
        <v>48.787012000000004</v>
      </c>
    </row>
    <row r="45" spans="1:21" ht="15" outlineLevel="2">
      <c r="A45" s="6" t="s">
        <v>302</v>
      </c>
      <c r="B45" s="7" t="s">
        <v>271</v>
      </c>
      <c r="C45" s="42" t="s">
        <v>34</v>
      </c>
      <c r="D45" s="8" t="s">
        <v>303</v>
      </c>
      <c r="E45" s="42" t="s">
        <v>298</v>
      </c>
      <c r="F45" s="39" t="s">
        <v>53</v>
      </c>
      <c r="G45" s="24" t="s">
        <v>64</v>
      </c>
      <c r="H45" s="136">
        <v>26.360755400000002</v>
      </c>
      <c r="I45" s="149">
        <v>20</v>
      </c>
      <c r="J45" s="136">
        <f>I45*$J$2</f>
        <v>1.2</v>
      </c>
      <c r="K45" s="136">
        <v>0</v>
      </c>
      <c r="L45" s="139"/>
      <c r="M45" s="139"/>
      <c r="N45" s="136"/>
      <c r="O45" s="11"/>
      <c r="P45" s="136"/>
      <c r="Q45" s="140"/>
      <c r="R45" s="136"/>
      <c r="S45" s="136"/>
      <c r="T45" s="136"/>
      <c r="U45" s="136">
        <f t="shared" si="11"/>
        <v>27.5607554</v>
      </c>
    </row>
    <row r="46" spans="1:21" ht="15" outlineLevel="2">
      <c r="A46" s="6" t="s">
        <v>302</v>
      </c>
      <c r="B46" s="7" t="s">
        <v>271</v>
      </c>
      <c r="C46" s="42" t="s">
        <v>34</v>
      </c>
      <c r="D46" s="8" t="s">
        <v>303</v>
      </c>
      <c r="E46" s="42" t="s">
        <v>298</v>
      </c>
      <c r="F46" s="39" t="s">
        <v>53</v>
      </c>
      <c r="G46" s="24" t="s">
        <v>65</v>
      </c>
      <c r="H46" s="136">
        <v>2701.6801503999995</v>
      </c>
      <c r="I46" s="149">
        <v>2811</v>
      </c>
      <c r="J46" s="136">
        <f>I46*$J$2</f>
        <v>168.66</v>
      </c>
      <c r="K46" s="136">
        <v>90</v>
      </c>
      <c r="L46" s="139"/>
      <c r="M46" s="139"/>
      <c r="N46" s="136"/>
      <c r="O46" s="11"/>
      <c r="P46" s="136"/>
      <c r="Q46" s="140"/>
      <c r="R46" s="136"/>
      <c r="S46" s="136"/>
      <c r="T46" s="136"/>
      <c r="U46" s="136">
        <f t="shared" si="11"/>
        <v>2960.3401503999994</v>
      </c>
    </row>
    <row r="47" spans="1:21" ht="15" outlineLevel="2">
      <c r="A47" s="6" t="s">
        <v>302</v>
      </c>
      <c r="B47" s="7" t="s">
        <v>271</v>
      </c>
      <c r="C47" s="42" t="s">
        <v>34</v>
      </c>
      <c r="D47" s="8" t="s">
        <v>303</v>
      </c>
      <c r="E47" s="42" t="s">
        <v>298</v>
      </c>
      <c r="F47" s="39" t="s">
        <v>53</v>
      </c>
      <c r="G47" s="24" t="s">
        <v>66</v>
      </c>
      <c r="H47" s="136">
        <v>4.338058200000001</v>
      </c>
      <c r="I47" s="149">
        <v>3</v>
      </c>
      <c r="J47" s="136">
        <f>I47*$J$2</f>
        <v>0.18</v>
      </c>
      <c r="K47" s="136">
        <v>15</v>
      </c>
      <c r="L47" s="139"/>
      <c r="M47" s="139"/>
      <c r="N47" s="136"/>
      <c r="O47" s="11"/>
      <c r="P47" s="136"/>
      <c r="Q47" s="140"/>
      <c r="R47" s="136"/>
      <c r="S47" s="136"/>
      <c r="T47" s="136"/>
      <c r="U47" s="136">
        <f t="shared" si="11"/>
        <v>19.5180582</v>
      </c>
    </row>
    <row r="48" spans="1:21" ht="15" outlineLevel="2">
      <c r="A48" s="6" t="s">
        <v>302</v>
      </c>
      <c r="B48" s="7" t="s">
        <v>271</v>
      </c>
      <c r="C48" s="42" t="s">
        <v>34</v>
      </c>
      <c r="D48" s="8" t="s">
        <v>303</v>
      </c>
      <c r="E48" s="42" t="s">
        <v>298</v>
      </c>
      <c r="F48" s="39" t="s">
        <v>53</v>
      </c>
      <c r="G48" s="24" t="s">
        <v>90</v>
      </c>
      <c r="H48" s="136">
        <v>259.339752</v>
      </c>
      <c r="I48" s="149">
        <v>944</v>
      </c>
      <c r="J48" s="136">
        <f>I48*$J$2</f>
        <v>56.64</v>
      </c>
      <c r="K48" s="136">
        <v>0</v>
      </c>
      <c r="L48" s="139"/>
      <c r="M48" s="139"/>
      <c r="N48" s="136"/>
      <c r="O48" s="11"/>
      <c r="P48" s="136"/>
      <c r="Q48" s="140"/>
      <c r="R48" s="136"/>
      <c r="S48" s="136"/>
      <c r="T48" s="136"/>
      <c r="U48" s="136">
        <f t="shared" si="11"/>
        <v>315.97975199999996</v>
      </c>
    </row>
    <row r="49" spans="1:21" ht="15" outlineLevel="2">
      <c r="A49" s="36" t="s">
        <v>659</v>
      </c>
      <c r="B49" s="11" t="str">
        <f>B48</f>
        <v>MCSO</v>
      </c>
      <c r="C49" s="11" t="str">
        <f>C48</f>
        <v>MCSO-E-Concealed Handgun 1516</v>
      </c>
      <c r="D49" s="13" t="str">
        <f>D48</f>
        <v>601775</v>
      </c>
      <c r="E49" s="27" t="str">
        <f>E48</f>
        <v>60-50</v>
      </c>
      <c r="F49" s="20" t="s">
        <v>683</v>
      </c>
      <c r="G49" s="11" t="s">
        <v>683</v>
      </c>
      <c r="H49" s="136"/>
      <c r="I49" s="140"/>
      <c r="J49" s="136"/>
      <c r="K49" s="136"/>
      <c r="L49" s="139"/>
      <c r="M49" s="139"/>
      <c r="N49" s="136"/>
      <c r="O49" s="34"/>
      <c r="P49" s="136"/>
      <c r="Q49" s="140"/>
      <c r="R49" s="136"/>
      <c r="S49" s="136"/>
      <c r="T49" s="150">
        <v>6.64</v>
      </c>
      <c r="U49" s="136">
        <f t="shared" si="11"/>
        <v>6.64</v>
      </c>
    </row>
    <row r="50" spans="1:21" s="5" customFormat="1" ht="15.75" outlineLevel="1">
      <c r="A50" s="64" t="s">
        <v>970</v>
      </c>
      <c r="B50" s="45"/>
      <c r="C50" s="45"/>
      <c r="D50" s="61"/>
      <c r="E50" s="52"/>
      <c r="F50" s="51"/>
      <c r="G50" s="45"/>
      <c r="H50" s="137">
        <f aca="true" t="shared" si="12" ref="H50:U50">SUBTOTAL(9,H43:H49)</f>
        <v>4067.9220624000004</v>
      </c>
      <c r="I50" s="167">
        <f t="shared" si="12"/>
        <v>6960</v>
      </c>
      <c r="J50" s="137">
        <f t="shared" si="12"/>
        <v>544.32</v>
      </c>
      <c r="K50" s="137">
        <f t="shared" si="12"/>
        <v>180</v>
      </c>
      <c r="L50" s="141">
        <f t="shared" si="12"/>
        <v>0</v>
      </c>
      <c r="M50" s="141">
        <f t="shared" si="12"/>
        <v>0</v>
      </c>
      <c r="N50" s="137">
        <f t="shared" si="12"/>
        <v>0</v>
      </c>
      <c r="O50" s="65">
        <f t="shared" si="12"/>
        <v>0</v>
      </c>
      <c r="P50" s="137">
        <f t="shared" si="12"/>
        <v>0</v>
      </c>
      <c r="Q50" s="167">
        <f t="shared" si="12"/>
        <v>0</v>
      </c>
      <c r="R50" s="137">
        <f t="shared" si="12"/>
        <v>0</v>
      </c>
      <c r="S50" s="137">
        <f t="shared" si="12"/>
        <v>0</v>
      </c>
      <c r="T50" s="137">
        <f t="shared" si="12"/>
        <v>6.64</v>
      </c>
      <c r="U50" s="137">
        <f t="shared" si="12"/>
        <v>4798.882062400001</v>
      </c>
    </row>
    <row r="51" spans="1:21" ht="15" outlineLevel="2">
      <c r="A51" s="9" t="s">
        <v>18</v>
      </c>
      <c r="B51" s="25" t="s">
        <v>271</v>
      </c>
      <c r="C51" s="16" t="s">
        <v>598</v>
      </c>
      <c r="D51" s="13">
        <v>601380</v>
      </c>
      <c r="E51" s="27" t="s">
        <v>274</v>
      </c>
      <c r="F51" s="20" t="s">
        <v>585</v>
      </c>
      <c r="G51" s="27" t="s">
        <v>585</v>
      </c>
      <c r="H51" s="136"/>
      <c r="I51" s="140"/>
      <c r="J51" s="136"/>
      <c r="K51" s="136"/>
      <c r="L51" s="139">
        <v>1</v>
      </c>
      <c r="M51" s="139">
        <v>0.25</v>
      </c>
      <c r="N51" s="136">
        <f>L51*M51*$N$2</f>
        <v>783.75</v>
      </c>
      <c r="O51" s="11"/>
      <c r="P51" s="136"/>
      <c r="Q51" s="140"/>
      <c r="R51" s="136"/>
      <c r="S51" s="136"/>
      <c r="T51" s="136"/>
      <c r="U51" s="136">
        <f>H51+J51+K51+N51+P51+R51+S51+T51</f>
        <v>783.75</v>
      </c>
    </row>
    <row r="52" spans="1:21" ht="15" outlineLevel="2">
      <c r="A52" s="9" t="s">
        <v>18</v>
      </c>
      <c r="B52" s="25" t="s">
        <v>271</v>
      </c>
      <c r="C52" s="16" t="s">
        <v>598</v>
      </c>
      <c r="D52" s="13">
        <v>601380</v>
      </c>
      <c r="E52" s="27" t="s">
        <v>274</v>
      </c>
      <c r="F52" s="20" t="s">
        <v>615</v>
      </c>
      <c r="G52" s="27" t="s">
        <v>615</v>
      </c>
      <c r="H52" s="136"/>
      <c r="I52" s="140"/>
      <c r="J52" s="136"/>
      <c r="K52" s="136"/>
      <c r="L52" s="139"/>
      <c r="M52" s="139"/>
      <c r="N52" s="136"/>
      <c r="O52" s="34">
        <v>0.25</v>
      </c>
      <c r="P52" s="136">
        <f>O52*$P$2</f>
        <v>18</v>
      </c>
      <c r="Q52" s="140"/>
      <c r="R52" s="136"/>
      <c r="S52" s="136"/>
      <c r="T52" s="136"/>
      <c r="U52" s="136">
        <f>H52+J52+K52+N52+P52+R52+S52+T52</f>
        <v>18</v>
      </c>
    </row>
    <row r="53" spans="1:21" s="5" customFormat="1" ht="15.75" outlineLevel="1">
      <c r="A53" s="64" t="s">
        <v>971</v>
      </c>
      <c r="B53" s="45"/>
      <c r="C53" s="45"/>
      <c r="D53" s="61"/>
      <c r="E53" s="52"/>
      <c r="F53" s="51"/>
      <c r="G53" s="45"/>
      <c r="H53" s="137">
        <f aca="true" t="shared" si="13" ref="H53:U53">SUBTOTAL(9,H51:H52)</f>
        <v>0</v>
      </c>
      <c r="I53" s="167">
        <f t="shared" si="13"/>
        <v>0</v>
      </c>
      <c r="J53" s="137">
        <f t="shared" si="13"/>
        <v>0</v>
      </c>
      <c r="K53" s="137">
        <f t="shared" si="13"/>
        <v>0</v>
      </c>
      <c r="L53" s="141">
        <f t="shared" si="13"/>
        <v>1</v>
      </c>
      <c r="M53" s="141">
        <f t="shared" si="13"/>
        <v>0.25</v>
      </c>
      <c r="N53" s="137">
        <f t="shared" si="13"/>
        <v>783.75</v>
      </c>
      <c r="O53" s="65">
        <f t="shared" si="13"/>
        <v>0.25</v>
      </c>
      <c r="P53" s="137">
        <f t="shared" si="13"/>
        <v>18</v>
      </c>
      <c r="Q53" s="167">
        <f t="shared" si="13"/>
        <v>0</v>
      </c>
      <c r="R53" s="137">
        <f t="shared" si="13"/>
        <v>0</v>
      </c>
      <c r="S53" s="137">
        <f t="shared" si="13"/>
        <v>0</v>
      </c>
      <c r="T53" s="137">
        <f t="shared" si="13"/>
        <v>0</v>
      </c>
      <c r="U53" s="137">
        <f t="shared" si="13"/>
        <v>801.75</v>
      </c>
    </row>
    <row r="54" spans="1:21" ht="15" outlineLevel="2">
      <c r="A54" s="28" t="s">
        <v>612</v>
      </c>
      <c r="B54" s="11" t="str">
        <f>B51</f>
        <v>MCSO</v>
      </c>
      <c r="C54" s="11" t="str">
        <f>C51</f>
        <v>CORRECTIONS</v>
      </c>
      <c r="D54" s="13">
        <f>D51</f>
        <v>601380</v>
      </c>
      <c r="E54" s="38" t="str">
        <f>E51</f>
        <v>60-20</v>
      </c>
      <c r="F54" s="20" t="s">
        <v>615</v>
      </c>
      <c r="G54" s="11" t="s">
        <v>615</v>
      </c>
      <c r="H54" s="136"/>
      <c r="I54" s="140"/>
      <c r="J54" s="136"/>
      <c r="K54" s="136"/>
      <c r="L54" s="139"/>
      <c r="M54" s="139"/>
      <c r="N54" s="136"/>
      <c r="O54" s="29">
        <v>0.75</v>
      </c>
      <c r="P54" s="136">
        <f>O54*$P$2</f>
        <v>54</v>
      </c>
      <c r="Q54" s="140"/>
      <c r="R54" s="136"/>
      <c r="S54" s="136"/>
      <c r="T54" s="136"/>
      <c r="U54" s="136">
        <f>H54+J54+K54+N54+P54+R54+S54+T54</f>
        <v>54</v>
      </c>
    </row>
    <row r="55" spans="1:21" s="5" customFormat="1" ht="15.75" outlineLevel="1">
      <c r="A55" s="64" t="s">
        <v>972</v>
      </c>
      <c r="B55" s="45"/>
      <c r="C55" s="45"/>
      <c r="D55" s="61"/>
      <c r="E55" s="52"/>
      <c r="F55" s="51"/>
      <c r="G55" s="45"/>
      <c r="H55" s="137">
        <f aca="true" t="shared" si="14" ref="H55:U55">SUBTOTAL(9,H54:H54)</f>
        <v>0</v>
      </c>
      <c r="I55" s="167">
        <f t="shared" si="14"/>
        <v>0</v>
      </c>
      <c r="J55" s="137">
        <f t="shared" si="14"/>
        <v>0</v>
      </c>
      <c r="K55" s="137">
        <f t="shared" si="14"/>
        <v>0</v>
      </c>
      <c r="L55" s="141">
        <f t="shared" si="14"/>
        <v>0</v>
      </c>
      <c r="M55" s="141">
        <f t="shared" si="14"/>
        <v>0</v>
      </c>
      <c r="N55" s="137">
        <f t="shared" si="14"/>
        <v>0</v>
      </c>
      <c r="O55" s="65">
        <f t="shared" si="14"/>
        <v>0.75</v>
      </c>
      <c r="P55" s="137">
        <f t="shared" si="14"/>
        <v>54</v>
      </c>
      <c r="Q55" s="167">
        <f t="shared" si="14"/>
        <v>0</v>
      </c>
      <c r="R55" s="137">
        <f t="shared" si="14"/>
        <v>0</v>
      </c>
      <c r="S55" s="137">
        <f t="shared" si="14"/>
        <v>0</v>
      </c>
      <c r="T55" s="137">
        <f t="shared" si="14"/>
        <v>0</v>
      </c>
      <c r="U55" s="137">
        <f t="shared" si="14"/>
        <v>54</v>
      </c>
    </row>
    <row r="56" spans="1:21" ht="15" outlineLevel="2">
      <c r="A56" s="6" t="s">
        <v>304</v>
      </c>
      <c r="B56" s="7" t="s">
        <v>271</v>
      </c>
      <c r="C56" s="7" t="s">
        <v>305</v>
      </c>
      <c r="D56" s="8" t="s">
        <v>306</v>
      </c>
      <c r="E56" s="42" t="s">
        <v>298</v>
      </c>
      <c r="F56" s="39" t="s">
        <v>53</v>
      </c>
      <c r="G56" s="24" t="s">
        <v>62</v>
      </c>
      <c r="H56" s="136">
        <v>2978.1351515999995</v>
      </c>
      <c r="I56" s="149">
        <v>8888</v>
      </c>
      <c r="J56" s="136">
        <f>I56*$J$1</f>
        <v>888.8000000000001</v>
      </c>
      <c r="K56" s="136">
        <v>60</v>
      </c>
      <c r="L56" s="139"/>
      <c r="M56" s="139"/>
      <c r="N56" s="136"/>
      <c r="O56" s="11"/>
      <c r="P56" s="136"/>
      <c r="Q56" s="140"/>
      <c r="R56" s="136"/>
      <c r="S56" s="136"/>
      <c r="T56" s="136"/>
      <c r="U56" s="136">
        <f aca="true" t="shared" si="15" ref="U56:U62">H56+J56+K56+N56+P56+R56+S56+T56</f>
        <v>3926.9351515999997</v>
      </c>
    </row>
    <row r="57" spans="1:21" ht="15" outlineLevel="2">
      <c r="A57" s="6" t="s">
        <v>304</v>
      </c>
      <c r="B57" s="7" t="s">
        <v>271</v>
      </c>
      <c r="C57" s="7" t="s">
        <v>305</v>
      </c>
      <c r="D57" s="8" t="s">
        <v>306</v>
      </c>
      <c r="E57" s="42" t="s">
        <v>298</v>
      </c>
      <c r="F57" s="39" t="s">
        <v>53</v>
      </c>
      <c r="G57" s="24" t="s">
        <v>63</v>
      </c>
      <c r="H57" s="136">
        <v>52.513887999999994</v>
      </c>
      <c r="I57" s="149">
        <v>22</v>
      </c>
      <c r="J57" s="136">
        <f>I57*$J$2</f>
        <v>1.3199999999999998</v>
      </c>
      <c r="K57" s="136">
        <v>15</v>
      </c>
      <c r="L57" s="139"/>
      <c r="M57" s="139"/>
      <c r="N57" s="136"/>
      <c r="O57" s="11"/>
      <c r="P57" s="136"/>
      <c r="Q57" s="140"/>
      <c r="R57" s="136"/>
      <c r="S57" s="136"/>
      <c r="T57" s="136"/>
      <c r="U57" s="136">
        <f t="shared" si="15"/>
        <v>68.833888</v>
      </c>
    </row>
    <row r="58" spans="1:21" ht="15" outlineLevel="2">
      <c r="A58" s="6" t="s">
        <v>304</v>
      </c>
      <c r="B58" s="7" t="s">
        <v>271</v>
      </c>
      <c r="C58" s="7" t="s">
        <v>305</v>
      </c>
      <c r="D58" s="8" t="s">
        <v>306</v>
      </c>
      <c r="E58" s="42" t="s">
        <v>298</v>
      </c>
      <c r="F58" s="39" t="s">
        <v>53</v>
      </c>
      <c r="G58" s="24" t="s">
        <v>64</v>
      </c>
      <c r="H58" s="136">
        <v>237.570816</v>
      </c>
      <c r="I58" s="149">
        <v>230</v>
      </c>
      <c r="J58" s="136">
        <f>I58*$J$2</f>
        <v>13.799999999999999</v>
      </c>
      <c r="K58" s="136">
        <v>30</v>
      </c>
      <c r="L58" s="139"/>
      <c r="M58" s="139"/>
      <c r="N58" s="136"/>
      <c r="O58" s="11"/>
      <c r="P58" s="136"/>
      <c r="Q58" s="140"/>
      <c r="R58" s="136"/>
      <c r="S58" s="136"/>
      <c r="T58" s="136"/>
      <c r="U58" s="136">
        <f t="shared" si="15"/>
        <v>281.370816</v>
      </c>
    </row>
    <row r="59" spans="1:21" ht="15" outlineLevel="2">
      <c r="A59" s="6" t="s">
        <v>304</v>
      </c>
      <c r="B59" s="7" t="s">
        <v>271</v>
      </c>
      <c r="C59" s="7" t="s">
        <v>305</v>
      </c>
      <c r="D59" s="8" t="s">
        <v>306</v>
      </c>
      <c r="E59" s="42" t="s">
        <v>298</v>
      </c>
      <c r="F59" s="39" t="s">
        <v>53</v>
      </c>
      <c r="G59" s="24" t="s">
        <v>65</v>
      </c>
      <c r="H59" s="136">
        <v>171.4125448</v>
      </c>
      <c r="I59" s="149">
        <v>219</v>
      </c>
      <c r="J59" s="136">
        <f>I59*$J$2</f>
        <v>13.139999999999999</v>
      </c>
      <c r="K59" s="136">
        <v>30</v>
      </c>
      <c r="L59" s="139"/>
      <c r="M59" s="139"/>
      <c r="N59" s="136"/>
      <c r="O59" s="11"/>
      <c r="P59" s="136"/>
      <c r="Q59" s="140"/>
      <c r="R59" s="136"/>
      <c r="S59" s="136"/>
      <c r="T59" s="136"/>
      <c r="U59" s="136">
        <f t="shared" si="15"/>
        <v>214.5525448</v>
      </c>
    </row>
    <row r="60" spans="1:21" ht="15" outlineLevel="2">
      <c r="A60" s="6" t="s">
        <v>304</v>
      </c>
      <c r="B60" s="7" t="s">
        <v>271</v>
      </c>
      <c r="C60" s="7" t="s">
        <v>305</v>
      </c>
      <c r="D60" s="8" t="s">
        <v>306</v>
      </c>
      <c r="E60" s="42" t="s">
        <v>298</v>
      </c>
      <c r="F60" s="39" t="s">
        <v>53</v>
      </c>
      <c r="G60" s="24" t="s">
        <v>66</v>
      </c>
      <c r="H60" s="136">
        <v>111.77237119999998</v>
      </c>
      <c r="I60" s="149">
        <v>128</v>
      </c>
      <c r="J60" s="136">
        <f>I60*$J$2</f>
        <v>7.68</v>
      </c>
      <c r="K60" s="136">
        <v>45</v>
      </c>
      <c r="L60" s="139"/>
      <c r="M60" s="139"/>
      <c r="N60" s="136"/>
      <c r="O60" s="11"/>
      <c r="P60" s="136"/>
      <c r="Q60" s="140"/>
      <c r="R60" s="136"/>
      <c r="S60" s="136"/>
      <c r="T60" s="136"/>
      <c r="U60" s="136">
        <f t="shared" si="15"/>
        <v>164.4523712</v>
      </c>
    </row>
    <row r="61" spans="1:21" ht="15" outlineLevel="2">
      <c r="A61" s="6" t="s">
        <v>304</v>
      </c>
      <c r="B61" s="7" t="s">
        <v>271</v>
      </c>
      <c r="C61" s="7" t="s">
        <v>305</v>
      </c>
      <c r="D61" s="8" t="s">
        <v>306</v>
      </c>
      <c r="E61" s="42" t="s">
        <v>298</v>
      </c>
      <c r="F61" s="39" t="s">
        <v>53</v>
      </c>
      <c r="G61" s="24" t="s">
        <v>167</v>
      </c>
      <c r="H61" s="136">
        <v>1.3138957999999998</v>
      </c>
      <c r="I61" s="149">
        <v>2</v>
      </c>
      <c r="J61" s="136">
        <f>I61*$J$2</f>
        <v>0.12</v>
      </c>
      <c r="K61" s="136">
        <v>0</v>
      </c>
      <c r="L61" s="139"/>
      <c r="M61" s="139"/>
      <c r="N61" s="136"/>
      <c r="O61" s="11"/>
      <c r="P61" s="136"/>
      <c r="Q61" s="140"/>
      <c r="R61" s="136"/>
      <c r="S61" s="136"/>
      <c r="T61" s="136"/>
      <c r="U61" s="136">
        <f t="shared" si="15"/>
        <v>1.4338957999999997</v>
      </c>
    </row>
    <row r="62" spans="1:21" ht="15" outlineLevel="2">
      <c r="A62" s="6" t="str">
        <f>A61</f>
        <v>M350</v>
      </c>
      <c r="B62" s="11" t="str">
        <f>B61</f>
        <v>MCSO</v>
      </c>
      <c r="C62" s="11" t="str">
        <f>C61</f>
        <v>CIVIL DIVISION</v>
      </c>
      <c r="D62" s="13" t="str">
        <f>D61</f>
        <v>601690</v>
      </c>
      <c r="E62" s="24" t="str">
        <f>E61</f>
        <v>60-50</v>
      </c>
      <c r="F62" s="39" t="s">
        <v>585</v>
      </c>
      <c r="G62" s="24" t="s">
        <v>585</v>
      </c>
      <c r="H62" s="136"/>
      <c r="I62" s="149"/>
      <c r="J62" s="136"/>
      <c r="K62" s="136"/>
      <c r="L62" s="139">
        <v>1</v>
      </c>
      <c r="M62" s="139">
        <v>0.25</v>
      </c>
      <c r="N62" s="136">
        <f>L62*M62*$N$2</f>
        <v>783.75</v>
      </c>
      <c r="O62" s="11"/>
      <c r="P62" s="136"/>
      <c r="Q62" s="140"/>
      <c r="R62" s="136"/>
      <c r="S62" s="136"/>
      <c r="T62" s="136"/>
      <c r="U62" s="136">
        <f t="shared" si="15"/>
        <v>783.75</v>
      </c>
    </row>
    <row r="63" spans="1:21" s="5" customFormat="1" ht="15.75" outlineLevel="1">
      <c r="A63" s="64" t="s">
        <v>973</v>
      </c>
      <c r="B63" s="45"/>
      <c r="C63" s="45"/>
      <c r="D63" s="61"/>
      <c r="E63" s="52"/>
      <c r="F63" s="51"/>
      <c r="G63" s="45"/>
      <c r="H63" s="137">
        <f aca="true" t="shared" si="16" ref="H63:U63">SUBTOTAL(9,H56:H62)</f>
        <v>3552.7186673999995</v>
      </c>
      <c r="I63" s="167">
        <f t="shared" si="16"/>
        <v>9489</v>
      </c>
      <c r="J63" s="137">
        <f t="shared" si="16"/>
        <v>924.86</v>
      </c>
      <c r="K63" s="137">
        <f t="shared" si="16"/>
        <v>180</v>
      </c>
      <c r="L63" s="141">
        <f t="shared" si="16"/>
        <v>1</v>
      </c>
      <c r="M63" s="141">
        <f t="shared" si="16"/>
        <v>0.25</v>
      </c>
      <c r="N63" s="137">
        <f t="shared" si="16"/>
        <v>783.75</v>
      </c>
      <c r="O63" s="65">
        <f t="shared" si="16"/>
        <v>0</v>
      </c>
      <c r="P63" s="137">
        <f t="shared" si="16"/>
        <v>0</v>
      </c>
      <c r="Q63" s="167">
        <f t="shared" si="16"/>
        <v>0</v>
      </c>
      <c r="R63" s="137">
        <f t="shared" si="16"/>
        <v>0</v>
      </c>
      <c r="S63" s="137">
        <f t="shared" si="16"/>
        <v>0</v>
      </c>
      <c r="T63" s="137">
        <f t="shared" si="16"/>
        <v>0</v>
      </c>
      <c r="U63" s="137">
        <f t="shared" si="16"/>
        <v>5441.328667399999</v>
      </c>
    </row>
    <row r="64" spans="1:21" ht="15" outlineLevel="2">
      <c r="A64" s="6" t="s">
        <v>307</v>
      </c>
      <c r="B64" s="7" t="s">
        <v>271</v>
      </c>
      <c r="C64" s="7" t="s">
        <v>308</v>
      </c>
      <c r="D64" s="8" t="s">
        <v>309</v>
      </c>
      <c r="E64" s="42" t="s">
        <v>310</v>
      </c>
      <c r="F64" s="39" t="s">
        <v>53</v>
      </c>
      <c r="G64" s="24" t="s">
        <v>62</v>
      </c>
      <c r="H64" s="136">
        <v>331.10383880000035</v>
      </c>
      <c r="I64" s="149">
        <v>1315</v>
      </c>
      <c r="J64" s="136">
        <f>I64*$J$1</f>
        <v>131.5</v>
      </c>
      <c r="K64" s="136">
        <v>75</v>
      </c>
      <c r="L64" s="139"/>
      <c r="M64" s="139"/>
      <c r="N64" s="136"/>
      <c r="O64" s="11"/>
      <c r="P64" s="136"/>
      <c r="Q64" s="140"/>
      <c r="R64" s="136"/>
      <c r="S64" s="136"/>
      <c r="T64" s="136"/>
      <c r="U64" s="136">
        <f aca="true" t="shared" si="17" ref="U64:U71">H64+J64+K64+N64+P64+R64+S64+T64</f>
        <v>537.6038388000004</v>
      </c>
    </row>
    <row r="65" spans="1:21" ht="15" outlineLevel="2">
      <c r="A65" s="6" t="s">
        <v>307</v>
      </c>
      <c r="B65" s="7" t="s">
        <v>271</v>
      </c>
      <c r="C65" s="7" t="s">
        <v>308</v>
      </c>
      <c r="D65" s="8" t="s">
        <v>309</v>
      </c>
      <c r="E65" s="42" t="s">
        <v>310</v>
      </c>
      <c r="F65" s="39" t="s">
        <v>53</v>
      </c>
      <c r="G65" s="24" t="s">
        <v>63</v>
      </c>
      <c r="H65" s="136">
        <v>142.57814199999999</v>
      </c>
      <c r="I65" s="149">
        <v>38</v>
      </c>
      <c r="J65" s="136">
        <f>I65*$J$2</f>
        <v>2.28</v>
      </c>
      <c r="K65" s="136">
        <v>0</v>
      </c>
      <c r="L65" s="139"/>
      <c r="M65" s="139"/>
      <c r="N65" s="136"/>
      <c r="O65" s="11"/>
      <c r="P65" s="136"/>
      <c r="Q65" s="140"/>
      <c r="R65" s="136"/>
      <c r="S65" s="136"/>
      <c r="T65" s="136"/>
      <c r="U65" s="136">
        <f t="shared" si="17"/>
        <v>144.858142</v>
      </c>
    </row>
    <row r="66" spans="1:21" ht="15" outlineLevel="2">
      <c r="A66" s="6" t="s">
        <v>307</v>
      </c>
      <c r="B66" s="7" t="s">
        <v>271</v>
      </c>
      <c r="C66" s="7" t="s">
        <v>308</v>
      </c>
      <c r="D66" s="8" t="s">
        <v>309</v>
      </c>
      <c r="E66" s="42" t="s">
        <v>310</v>
      </c>
      <c r="F66" s="39" t="s">
        <v>53</v>
      </c>
      <c r="G66" s="24" t="s">
        <v>64</v>
      </c>
      <c r="H66" s="136">
        <v>43.3931652</v>
      </c>
      <c r="I66" s="149">
        <v>38</v>
      </c>
      <c r="J66" s="136">
        <f>I66*$J$2</f>
        <v>2.28</v>
      </c>
      <c r="K66" s="136">
        <v>30</v>
      </c>
      <c r="L66" s="139"/>
      <c r="M66" s="139"/>
      <c r="N66" s="136"/>
      <c r="O66" s="11"/>
      <c r="P66" s="136"/>
      <c r="Q66" s="140"/>
      <c r="R66" s="136"/>
      <c r="S66" s="136"/>
      <c r="T66" s="136"/>
      <c r="U66" s="136">
        <f t="shared" si="17"/>
        <v>75.6731652</v>
      </c>
    </row>
    <row r="67" spans="1:21" ht="15" outlineLevel="2">
      <c r="A67" s="6" t="s">
        <v>307</v>
      </c>
      <c r="B67" s="7" t="s">
        <v>271</v>
      </c>
      <c r="C67" s="7" t="s">
        <v>308</v>
      </c>
      <c r="D67" s="8" t="s">
        <v>309</v>
      </c>
      <c r="E67" s="42" t="s">
        <v>310</v>
      </c>
      <c r="F67" s="39" t="s">
        <v>53</v>
      </c>
      <c r="G67" s="24" t="s">
        <v>65</v>
      </c>
      <c r="H67" s="136">
        <v>89.78532639999999</v>
      </c>
      <c r="I67" s="149">
        <v>187</v>
      </c>
      <c r="J67" s="136">
        <f>I67*$J$2</f>
        <v>11.219999999999999</v>
      </c>
      <c r="K67" s="136">
        <v>45</v>
      </c>
      <c r="L67" s="139"/>
      <c r="M67" s="139"/>
      <c r="N67" s="136"/>
      <c r="O67" s="11"/>
      <c r="P67" s="136"/>
      <c r="Q67" s="140"/>
      <c r="R67" s="136"/>
      <c r="S67" s="136"/>
      <c r="T67" s="136"/>
      <c r="U67" s="136">
        <f t="shared" si="17"/>
        <v>146.0053264</v>
      </c>
    </row>
    <row r="68" spans="1:21" ht="15" outlineLevel="2">
      <c r="A68" s="6" t="s">
        <v>307</v>
      </c>
      <c r="B68" s="7" t="s">
        <v>271</v>
      </c>
      <c r="C68" s="7" t="s">
        <v>308</v>
      </c>
      <c r="D68" s="8" t="s">
        <v>309</v>
      </c>
      <c r="E68" s="42" t="s">
        <v>310</v>
      </c>
      <c r="F68" s="39" t="s">
        <v>53</v>
      </c>
      <c r="G68" s="24" t="s">
        <v>66</v>
      </c>
      <c r="H68" s="136">
        <v>24.930464999999998</v>
      </c>
      <c r="I68" s="149">
        <v>23</v>
      </c>
      <c r="J68" s="136">
        <f>I68*$J$2</f>
        <v>1.38</v>
      </c>
      <c r="K68" s="136">
        <v>30</v>
      </c>
      <c r="L68" s="139"/>
      <c r="M68" s="139"/>
      <c r="N68" s="136"/>
      <c r="O68" s="11"/>
      <c r="P68" s="136"/>
      <c r="Q68" s="140"/>
      <c r="R68" s="136"/>
      <c r="S68" s="136"/>
      <c r="T68" s="136"/>
      <c r="U68" s="136">
        <f t="shared" si="17"/>
        <v>56.31046499999999</v>
      </c>
    </row>
    <row r="69" spans="1:21" ht="15" outlineLevel="2">
      <c r="A69" s="6" t="str">
        <f>A68</f>
        <v>M381</v>
      </c>
      <c r="B69" s="11" t="str">
        <f>B68</f>
        <v>MCSO</v>
      </c>
      <c r="C69" s="11" t="str">
        <f>C68</f>
        <v>CORRECTIONS BRANCH</v>
      </c>
      <c r="D69" s="13" t="str">
        <f>D68</f>
        <v>601410</v>
      </c>
      <c r="E69" s="24" t="str">
        <f>E68</f>
        <v>60-30</v>
      </c>
      <c r="F69" s="39" t="s">
        <v>585</v>
      </c>
      <c r="G69" s="24" t="s">
        <v>585</v>
      </c>
      <c r="H69" s="136"/>
      <c r="I69" s="149"/>
      <c r="J69" s="136"/>
      <c r="K69" s="136"/>
      <c r="L69" s="139">
        <v>2</v>
      </c>
      <c r="M69" s="139">
        <v>0.9</v>
      </c>
      <c r="N69" s="136">
        <f>L69*M69*$N$2</f>
        <v>5643</v>
      </c>
      <c r="O69" s="11"/>
      <c r="P69" s="136"/>
      <c r="Q69" s="140"/>
      <c r="R69" s="136"/>
      <c r="S69" s="136"/>
      <c r="T69" s="136"/>
      <c r="U69" s="136">
        <f t="shared" si="17"/>
        <v>5643</v>
      </c>
    </row>
    <row r="70" spans="1:21" ht="15" outlineLevel="2">
      <c r="A70" s="28" t="s">
        <v>307</v>
      </c>
      <c r="B70" s="11" t="str">
        <f aca="true" t="shared" si="18" ref="B70:E71">B69</f>
        <v>MCSO</v>
      </c>
      <c r="C70" s="11" t="str">
        <f t="shared" si="18"/>
        <v>CORRECTIONS BRANCH</v>
      </c>
      <c r="D70" s="13" t="str">
        <f t="shared" si="18"/>
        <v>601410</v>
      </c>
      <c r="E70" s="38" t="str">
        <f t="shared" si="18"/>
        <v>60-30</v>
      </c>
      <c r="F70" s="20" t="s">
        <v>615</v>
      </c>
      <c r="G70" s="11" t="s">
        <v>615</v>
      </c>
      <c r="H70" s="136"/>
      <c r="I70" s="140"/>
      <c r="J70" s="136"/>
      <c r="K70" s="136"/>
      <c r="L70" s="139"/>
      <c r="M70" s="139"/>
      <c r="N70" s="136"/>
      <c r="O70" s="29">
        <f>1.5+0.75</f>
        <v>2.25</v>
      </c>
      <c r="P70" s="136">
        <f>O70*$P$2</f>
        <v>162</v>
      </c>
      <c r="Q70" s="140"/>
      <c r="R70" s="136"/>
      <c r="S70" s="136"/>
      <c r="T70" s="136"/>
      <c r="U70" s="136">
        <f t="shared" si="17"/>
        <v>162</v>
      </c>
    </row>
    <row r="71" spans="1:21" ht="15" outlineLevel="2">
      <c r="A71" s="36" t="s">
        <v>307</v>
      </c>
      <c r="B71" s="11" t="str">
        <f t="shared" si="18"/>
        <v>MCSO</v>
      </c>
      <c r="C71" s="11" t="str">
        <f t="shared" si="18"/>
        <v>CORRECTIONS BRANCH</v>
      </c>
      <c r="D71" s="13" t="str">
        <f t="shared" si="18"/>
        <v>601410</v>
      </c>
      <c r="E71" s="27" t="str">
        <f t="shared" si="18"/>
        <v>60-30</v>
      </c>
      <c r="F71" s="20" t="s">
        <v>683</v>
      </c>
      <c r="G71" s="11" t="s">
        <v>683</v>
      </c>
      <c r="H71" s="136"/>
      <c r="I71" s="140"/>
      <c r="J71" s="136"/>
      <c r="K71" s="136"/>
      <c r="L71" s="139"/>
      <c r="M71" s="139"/>
      <c r="N71" s="136"/>
      <c r="O71" s="34"/>
      <c r="P71" s="136"/>
      <c r="Q71" s="140"/>
      <c r="R71" s="136"/>
      <c r="S71" s="136"/>
      <c r="T71" s="150">
        <v>11.41</v>
      </c>
      <c r="U71" s="136">
        <f t="shared" si="17"/>
        <v>11.41</v>
      </c>
    </row>
    <row r="72" spans="1:21" s="5" customFormat="1" ht="15.75" outlineLevel="1">
      <c r="A72" s="64" t="s">
        <v>974</v>
      </c>
      <c r="B72" s="45"/>
      <c r="C72" s="45"/>
      <c r="D72" s="61"/>
      <c r="E72" s="52"/>
      <c r="F72" s="51"/>
      <c r="G72" s="45"/>
      <c r="H72" s="137">
        <f aca="true" t="shared" si="19" ref="H72:U72">SUBTOTAL(9,H64:H71)</f>
        <v>631.7909374000004</v>
      </c>
      <c r="I72" s="167">
        <f t="shared" si="19"/>
        <v>1601</v>
      </c>
      <c r="J72" s="137">
        <f t="shared" si="19"/>
        <v>148.66</v>
      </c>
      <c r="K72" s="137">
        <f t="shared" si="19"/>
        <v>180</v>
      </c>
      <c r="L72" s="141">
        <f t="shared" si="19"/>
        <v>2</v>
      </c>
      <c r="M72" s="141">
        <f t="shared" si="19"/>
        <v>0.9</v>
      </c>
      <c r="N72" s="137">
        <f t="shared" si="19"/>
        <v>5643</v>
      </c>
      <c r="O72" s="65">
        <f t="shared" si="19"/>
        <v>2.25</v>
      </c>
      <c r="P72" s="137">
        <f t="shared" si="19"/>
        <v>162</v>
      </c>
      <c r="Q72" s="167">
        <f t="shared" si="19"/>
        <v>0</v>
      </c>
      <c r="R72" s="137">
        <f t="shared" si="19"/>
        <v>0</v>
      </c>
      <c r="S72" s="137">
        <f t="shared" si="19"/>
        <v>0</v>
      </c>
      <c r="T72" s="137">
        <f t="shared" si="19"/>
        <v>11.41</v>
      </c>
      <c r="U72" s="137">
        <f t="shared" si="19"/>
        <v>6776.860937400001</v>
      </c>
    </row>
    <row r="73" spans="1:21" ht="15" outlineLevel="2">
      <c r="A73" s="6" t="s">
        <v>311</v>
      </c>
      <c r="B73" s="7" t="s">
        <v>271</v>
      </c>
      <c r="C73" s="7" t="s">
        <v>308</v>
      </c>
      <c r="D73" s="8" t="s">
        <v>312</v>
      </c>
      <c r="E73" s="42" t="s">
        <v>310</v>
      </c>
      <c r="F73" s="39" t="s">
        <v>53</v>
      </c>
      <c r="G73" s="11" t="s">
        <v>62</v>
      </c>
      <c r="H73" s="136">
        <v>0.7854014</v>
      </c>
      <c r="I73" s="140">
        <v>2</v>
      </c>
      <c r="J73" s="136">
        <f>I73*$J$1</f>
        <v>0.2</v>
      </c>
      <c r="K73" s="136">
        <v>30</v>
      </c>
      <c r="L73" s="139"/>
      <c r="M73" s="139"/>
      <c r="N73" s="136"/>
      <c r="O73" s="11"/>
      <c r="P73" s="136"/>
      <c r="Q73" s="140"/>
      <c r="R73" s="136"/>
      <c r="S73" s="136"/>
      <c r="T73" s="136"/>
      <c r="U73" s="136">
        <f aca="true" t="shared" si="20" ref="U73:U78">H73+J73+K73+N73+P73+R73+S73+T73</f>
        <v>30.9854014</v>
      </c>
    </row>
    <row r="74" spans="1:21" ht="15" outlineLevel="2">
      <c r="A74" s="6" t="s">
        <v>311</v>
      </c>
      <c r="B74" s="7" t="s">
        <v>271</v>
      </c>
      <c r="C74" s="7" t="s">
        <v>308</v>
      </c>
      <c r="D74" s="8" t="s">
        <v>312</v>
      </c>
      <c r="E74" s="42" t="s">
        <v>310</v>
      </c>
      <c r="F74" s="39" t="s">
        <v>53</v>
      </c>
      <c r="G74" s="24" t="s">
        <v>63</v>
      </c>
      <c r="H74" s="136">
        <v>99.57505599999999</v>
      </c>
      <c r="I74" s="149">
        <v>27</v>
      </c>
      <c r="J74" s="136">
        <f>I74*$J$2</f>
        <v>1.6199999999999999</v>
      </c>
      <c r="K74" s="136">
        <v>120</v>
      </c>
      <c r="L74" s="139"/>
      <c r="M74" s="139"/>
      <c r="N74" s="136"/>
      <c r="O74" s="11"/>
      <c r="P74" s="136"/>
      <c r="Q74" s="140"/>
      <c r="R74" s="136"/>
      <c r="S74" s="136"/>
      <c r="T74" s="136"/>
      <c r="U74" s="136">
        <f t="shared" si="20"/>
        <v>221.195056</v>
      </c>
    </row>
    <row r="75" spans="1:21" ht="15" outlineLevel="2">
      <c r="A75" s="6" t="s">
        <v>311</v>
      </c>
      <c r="B75" s="7" t="s">
        <v>271</v>
      </c>
      <c r="C75" s="7" t="s">
        <v>308</v>
      </c>
      <c r="D75" s="8" t="s">
        <v>312</v>
      </c>
      <c r="E75" s="42" t="s">
        <v>310</v>
      </c>
      <c r="F75" s="39" t="s">
        <v>53</v>
      </c>
      <c r="G75" s="24" t="s">
        <v>64</v>
      </c>
      <c r="H75" s="136">
        <v>21.81088</v>
      </c>
      <c r="I75" s="149">
        <v>9</v>
      </c>
      <c r="J75" s="136">
        <f>I75*$J$2</f>
        <v>0.54</v>
      </c>
      <c r="K75" s="136">
        <v>30</v>
      </c>
      <c r="L75" s="139"/>
      <c r="M75" s="139"/>
      <c r="N75" s="136"/>
      <c r="O75" s="11"/>
      <c r="P75" s="136"/>
      <c r="Q75" s="140"/>
      <c r="R75" s="136"/>
      <c r="S75" s="136"/>
      <c r="T75" s="136"/>
      <c r="U75" s="136">
        <f t="shared" si="20"/>
        <v>52.350880000000004</v>
      </c>
    </row>
    <row r="76" spans="1:21" ht="15" outlineLevel="2">
      <c r="A76" s="6" t="str">
        <f>A75</f>
        <v>M395</v>
      </c>
      <c r="B76" s="11" t="str">
        <f>B75</f>
        <v>MCSO</v>
      </c>
      <c r="C76" s="11" t="str">
        <f>C75</f>
        <v>CORRECTIONS BRANCH</v>
      </c>
      <c r="D76" s="13" t="str">
        <f>D75</f>
        <v>601422</v>
      </c>
      <c r="E76" s="24" t="str">
        <f>E75</f>
        <v>60-30</v>
      </c>
      <c r="F76" s="39" t="s">
        <v>585</v>
      </c>
      <c r="G76" s="24" t="s">
        <v>585</v>
      </c>
      <c r="H76" s="136"/>
      <c r="I76" s="149"/>
      <c r="J76" s="136"/>
      <c r="K76" s="136"/>
      <c r="L76" s="139">
        <v>2</v>
      </c>
      <c r="M76" s="139">
        <v>1</v>
      </c>
      <c r="N76" s="136">
        <f>L76*M76*$N$2</f>
        <v>6270</v>
      </c>
      <c r="O76" s="11"/>
      <c r="P76" s="136"/>
      <c r="Q76" s="140"/>
      <c r="R76" s="136"/>
      <c r="S76" s="136"/>
      <c r="T76" s="136"/>
      <c r="U76" s="136">
        <f t="shared" si="20"/>
        <v>6270</v>
      </c>
    </row>
    <row r="77" spans="1:21" ht="15" outlineLevel="2">
      <c r="A77" s="28" t="s">
        <v>311</v>
      </c>
      <c r="B77" s="11" t="str">
        <f aca="true" t="shared" si="21" ref="B77:E78">B76</f>
        <v>MCSO</v>
      </c>
      <c r="C77" s="11" t="str">
        <f t="shared" si="21"/>
        <v>CORRECTIONS BRANCH</v>
      </c>
      <c r="D77" s="13" t="str">
        <f t="shared" si="21"/>
        <v>601422</v>
      </c>
      <c r="E77" s="38" t="str">
        <f t="shared" si="21"/>
        <v>60-30</v>
      </c>
      <c r="F77" s="20" t="s">
        <v>615</v>
      </c>
      <c r="G77" s="11" t="s">
        <v>615</v>
      </c>
      <c r="H77" s="136"/>
      <c r="I77" s="140"/>
      <c r="J77" s="136"/>
      <c r="K77" s="136"/>
      <c r="L77" s="139"/>
      <c r="M77" s="139"/>
      <c r="N77" s="136"/>
      <c r="O77" s="29">
        <f>0.5+1.5</f>
        <v>2</v>
      </c>
      <c r="P77" s="136">
        <f>O77*$P$2</f>
        <v>144</v>
      </c>
      <c r="Q77" s="140"/>
      <c r="R77" s="136"/>
      <c r="S77" s="136"/>
      <c r="T77" s="136"/>
      <c r="U77" s="136">
        <f t="shared" si="20"/>
        <v>144</v>
      </c>
    </row>
    <row r="78" spans="1:21" ht="15" outlineLevel="2">
      <c r="A78" s="36" t="s">
        <v>311</v>
      </c>
      <c r="B78" s="11" t="str">
        <f t="shared" si="21"/>
        <v>MCSO</v>
      </c>
      <c r="C78" s="11" t="str">
        <f t="shared" si="21"/>
        <v>CORRECTIONS BRANCH</v>
      </c>
      <c r="D78" s="13" t="str">
        <f t="shared" si="21"/>
        <v>601422</v>
      </c>
      <c r="E78" s="27" t="str">
        <f t="shared" si="21"/>
        <v>60-30</v>
      </c>
      <c r="F78" s="20" t="s">
        <v>683</v>
      </c>
      <c r="G78" s="11" t="s">
        <v>683</v>
      </c>
      <c r="H78" s="136"/>
      <c r="I78" s="140"/>
      <c r="J78" s="136"/>
      <c r="K78" s="136"/>
      <c r="L78" s="139"/>
      <c r="M78" s="139"/>
      <c r="N78" s="136"/>
      <c r="O78" s="34"/>
      <c r="P78" s="136"/>
      <c r="Q78" s="140"/>
      <c r="R78" s="136"/>
      <c r="S78" s="136"/>
      <c r="T78" s="150">
        <f>22.22+11.46</f>
        <v>33.68</v>
      </c>
      <c r="U78" s="136">
        <f t="shared" si="20"/>
        <v>33.68</v>
      </c>
    </row>
    <row r="79" spans="1:21" s="5" customFormat="1" ht="15.75" outlineLevel="1">
      <c r="A79" s="64" t="s">
        <v>975</v>
      </c>
      <c r="B79" s="45"/>
      <c r="C79" s="45"/>
      <c r="D79" s="61"/>
      <c r="E79" s="52"/>
      <c r="F79" s="51"/>
      <c r="G79" s="45"/>
      <c r="H79" s="137">
        <f aca="true" t="shared" si="22" ref="H79:U79">SUBTOTAL(9,H73:H78)</f>
        <v>122.17133739999998</v>
      </c>
      <c r="I79" s="167">
        <f t="shared" si="22"/>
        <v>38</v>
      </c>
      <c r="J79" s="137">
        <f t="shared" si="22"/>
        <v>2.36</v>
      </c>
      <c r="K79" s="137">
        <f t="shared" si="22"/>
        <v>180</v>
      </c>
      <c r="L79" s="141">
        <f t="shared" si="22"/>
        <v>2</v>
      </c>
      <c r="M79" s="141">
        <f t="shared" si="22"/>
        <v>1</v>
      </c>
      <c r="N79" s="137">
        <f t="shared" si="22"/>
        <v>6270</v>
      </c>
      <c r="O79" s="65">
        <f t="shared" si="22"/>
        <v>2</v>
      </c>
      <c r="P79" s="137">
        <f t="shared" si="22"/>
        <v>144</v>
      </c>
      <c r="Q79" s="167">
        <f t="shared" si="22"/>
        <v>0</v>
      </c>
      <c r="R79" s="137">
        <f t="shared" si="22"/>
        <v>0</v>
      </c>
      <c r="S79" s="137">
        <f t="shared" si="22"/>
        <v>0</v>
      </c>
      <c r="T79" s="137">
        <f t="shared" si="22"/>
        <v>33.68</v>
      </c>
      <c r="U79" s="137">
        <f t="shared" si="22"/>
        <v>6752.2113374</v>
      </c>
    </row>
    <row r="80" spans="1:21" ht="15" outlineLevel="2">
      <c r="A80" s="6" t="s">
        <v>313</v>
      </c>
      <c r="B80" s="7" t="s">
        <v>271</v>
      </c>
      <c r="C80" s="7" t="s">
        <v>308</v>
      </c>
      <c r="D80" s="8" t="s">
        <v>314</v>
      </c>
      <c r="E80" s="42" t="s">
        <v>310</v>
      </c>
      <c r="F80" s="39" t="s">
        <v>53</v>
      </c>
      <c r="G80" s="11" t="s">
        <v>63</v>
      </c>
      <c r="H80" s="136">
        <v>22.964339999999996</v>
      </c>
      <c r="I80" s="140">
        <v>15</v>
      </c>
      <c r="J80" s="136">
        <f>I80*$J$2</f>
        <v>0.8999999999999999</v>
      </c>
      <c r="K80" s="136">
        <v>30</v>
      </c>
      <c r="L80" s="139"/>
      <c r="M80" s="139"/>
      <c r="N80" s="136"/>
      <c r="O80" s="11"/>
      <c r="P80" s="136"/>
      <c r="Q80" s="140"/>
      <c r="R80" s="136"/>
      <c r="S80" s="136"/>
      <c r="T80" s="136"/>
      <c r="U80" s="136">
        <f>H80+J80+K80+N80+P80+R80+S80+T80</f>
        <v>53.86434</v>
      </c>
    </row>
    <row r="81" spans="1:21" ht="15" outlineLevel="2">
      <c r="A81" s="6" t="s">
        <v>313</v>
      </c>
      <c r="B81" s="7" t="s">
        <v>271</v>
      </c>
      <c r="C81" s="7" t="s">
        <v>308</v>
      </c>
      <c r="D81" s="8" t="s">
        <v>314</v>
      </c>
      <c r="E81" s="42" t="s">
        <v>310</v>
      </c>
      <c r="F81" s="39" t="s">
        <v>53</v>
      </c>
      <c r="G81" s="24" t="s">
        <v>64</v>
      </c>
      <c r="H81" s="136">
        <v>75.7173088</v>
      </c>
      <c r="I81" s="149">
        <v>61</v>
      </c>
      <c r="J81" s="136">
        <f>I81*$J$2</f>
        <v>3.6599999999999997</v>
      </c>
      <c r="K81" s="136">
        <v>90</v>
      </c>
      <c r="L81" s="139"/>
      <c r="M81" s="139"/>
      <c r="N81" s="136"/>
      <c r="O81" s="11"/>
      <c r="P81" s="136"/>
      <c r="Q81" s="140"/>
      <c r="R81" s="136"/>
      <c r="S81" s="136"/>
      <c r="T81" s="136"/>
      <c r="U81" s="136">
        <f>H81+J81+K81+N81+P81+R81+S81+T81</f>
        <v>169.37730879999998</v>
      </c>
    </row>
    <row r="82" spans="1:21" ht="15" outlineLevel="2">
      <c r="A82" s="6" t="s">
        <v>313</v>
      </c>
      <c r="B82" s="7" t="s">
        <v>271</v>
      </c>
      <c r="C82" s="7" t="s">
        <v>308</v>
      </c>
      <c r="D82" s="8" t="s">
        <v>314</v>
      </c>
      <c r="E82" s="42" t="s">
        <v>310</v>
      </c>
      <c r="F82" s="39" t="s">
        <v>53</v>
      </c>
      <c r="G82" s="24" t="s">
        <v>65</v>
      </c>
      <c r="H82" s="136">
        <v>1.038114</v>
      </c>
      <c r="I82" s="149">
        <v>2</v>
      </c>
      <c r="J82" s="136">
        <f>I82*$J$2</f>
        <v>0.12</v>
      </c>
      <c r="K82" s="136">
        <v>0</v>
      </c>
      <c r="L82" s="139"/>
      <c r="M82" s="139"/>
      <c r="N82" s="136"/>
      <c r="O82" s="11"/>
      <c r="P82" s="136"/>
      <c r="Q82" s="140"/>
      <c r="R82" s="136"/>
      <c r="S82" s="136"/>
      <c r="T82" s="136"/>
      <c r="U82" s="136">
        <f>H82+J82+K82+N82+P82+R82+S82+T82</f>
        <v>1.1581139999999999</v>
      </c>
    </row>
    <row r="83" spans="1:21" ht="15" outlineLevel="2">
      <c r="A83" s="6" t="str">
        <f>A82</f>
        <v>M401</v>
      </c>
      <c r="B83" s="11" t="str">
        <f>B82</f>
        <v>MCSO</v>
      </c>
      <c r="C83" s="11" t="str">
        <f>C82</f>
        <v>CORRECTIONS BRANCH</v>
      </c>
      <c r="D83" s="13" t="str">
        <f>D82</f>
        <v>601210</v>
      </c>
      <c r="E83" s="24" t="str">
        <f>E82</f>
        <v>60-30</v>
      </c>
      <c r="F83" s="39" t="s">
        <v>585</v>
      </c>
      <c r="G83" s="24" t="s">
        <v>585</v>
      </c>
      <c r="H83" s="136"/>
      <c r="I83" s="149"/>
      <c r="J83" s="136"/>
      <c r="K83" s="136"/>
      <c r="L83" s="139">
        <v>2</v>
      </c>
      <c r="M83" s="139">
        <v>1</v>
      </c>
      <c r="N83" s="136">
        <f>L83*M83*$N$2</f>
        <v>6270</v>
      </c>
      <c r="O83" s="11"/>
      <c r="P83" s="136"/>
      <c r="Q83" s="140"/>
      <c r="R83" s="136"/>
      <c r="S83" s="136"/>
      <c r="T83" s="136"/>
      <c r="U83" s="136">
        <f>H83+J83+K83+N83+P83+R83+S83+T83</f>
        <v>6270</v>
      </c>
    </row>
    <row r="84" spans="1:21" s="5" customFormat="1" ht="15.75" outlineLevel="1">
      <c r="A84" s="64" t="s">
        <v>976</v>
      </c>
      <c r="B84" s="45"/>
      <c r="C84" s="45"/>
      <c r="D84" s="61"/>
      <c r="E84" s="52"/>
      <c r="F84" s="51"/>
      <c r="G84" s="45"/>
      <c r="H84" s="137">
        <f aca="true" t="shared" si="23" ref="H84:U84">SUBTOTAL(9,H80:H83)</f>
        <v>99.71976279999998</v>
      </c>
      <c r="I84" s="167">
        <f t="shared" si="23"/>
        <v>78</v>
      </c>
      <c r="J84" s="137">
        <f t="shared" si="23"/>
        <v>4.68</v>
      </c>
      <c r="K84" s="137">
        <f t="shared" si="23"/>
        <v>120</v>
      </c>
      <c r="L84" s="141">
        <f t="shared" si="23"/>
        <v>2</v>
      </c>
      <c r="M84" s="141">
        <f t="shared" si="23"/>
        <v>1</v>
      </c>
      <c r="N84" s="137">
        <f t="shared" si="23"/>
        <v>6270</v>
      </c>
      <c r="O84" s="65">
        <f t="shared" si="23"/>
        <v>0</v>
      </c>
      <c r="P84" s="137">
        <f t="shared" si="23"/>
        <v>0</v>
      </c>
      <c r="Q84" s="167">
        <f t="shared" si="23"/>
        <v>0</v>
      </c>
      <c r="R84" s="137">
        <f t="shared" si="23"/>
        <v>0</v>
      </c>
      <c r="S84" s="137">
        <f t="shared" si="23"/>
        <v>0</v>
      </c>
      <c r="T84" s="137">
        <f t="shared" si="23"/>
        <v>0</v>
      </c>
      <c r="U84" s="137">
        <f t="shared" si="23"/>
        <v>6494.3997628</v>
      </c>
    </row>
    <row r="85" spans="1:21" ht="15" outlineLevel="2">
      <c r="A85" s="6" t="s">
        <v>315</v>
      </c>
      <c r="B85" s="7" t="s">
        <v>271</v>
      </c>
      <c r="C85" s="7" t="s">
        <v>316</v>
      </c>
      <c r="D85" s="8" t="s">
        <v>317</v>
      </c>
      <c r="E85" s="42" t="s">
        <v>310</v>
      </c>
      <c r="F85" s="39" t="s">
        <v>53</v>
      </c>
      <c r="G85" s="24" t="s">
        <v>66</v>
      </c>
      <c r="H85" s="136">
        <v>20.7350164</v>
      </c>
      <c r="I85" s="149">
        <v>24</v>
      </c>
      <c r="J85" s="136">
        <f>I85*$J$2</f>
        <v>1.44</v>
      </c>
      <c r="K85" s="136">
        <v>75</v>
      </c>
      <c r="L85" s="139"/>
      <c r="M85" s="139"/>
      <c r="N85" s="136"/>
      <c r="O85" s="11"/>
      <c r="P85" s="136"/>
      <c r="Q85" s="140"/>
      <c r="R85" s="136"/>
      <c r="S85" s="136"/>
      <c r="T85" s="136"/>
      <c r="U85" s="136">
        <f>H85+J85+K85+N85+P85+R85+S85+T85</f>
        <v>97.1750164</v>
      </c>
    </row>
    <row r="86" spans="1:21" ht="15" outlineLevel="2">
      <c r="A86" s="6" t="str">
        <f>A85</f>
        <v>M403</v>
      </c>
      <c r="B86" s="11" t="str">
        <f>B85</f>
        <v>MCSO</v>
      </c>
      <c r="C86" s="11" t="str">
        <f>C85</f>
        <v>COURT SERVICES UNIT</v>
      </c>
      <c r="D86" s="13" t="str">
        <f>D85</f>
        <v>601480</v>
      </c>
      <c r="E86" s="24" t="str">
        <f>E85</f>
        <v>60-30</v>
      </c>
      <c r="F86" s="39" t="s">
        <v>585</v>
      </c>
      <c r="G86" s="24" t="s">
        <v>585</v>
      </c>
      <c r="H86" s="136"/>
      <c r="I86" s="149"/>
      <c r="J86" s="136"/>
      <c r="K86" s="136"/>
      <c r="L86" s="139">
        <v>1</v>
      </c>
      <c r="M86" s="139">
        <v>0.75</v>
      </c>
      <c r="N86" s="136">
        <f>L86*M86*$N$2</f>
        <v>2351.25</v>
      </c>
      <c r="O86" s="11"/>
      <c r="P86" s="136"/>
      <c r="Q86" s="140"/>
      <c r="R86" s="136"/>
      <c r="S86" s="136"/>
      <c r="T86" s="136"/>
      <c r="U86" s="136">
        <f>H86+J86+K86+N86+P86+R86+S86+T86</f>
        <v>2351.25</v>
      </c>
    </row>
    <row r="87" spans="1:21" ht="15" outlineLevel="2">
      <c r="A87" s="28" t="s">
        <v>315</v>
      </c>
      <c r="B87" s="11" t="str">
        <f>B86</f>
        <v>MCSO</v>
      </c>
      <c r="C87" s="11" t="str">
        <f>C86</f>
        <v>COURT SERVICES UNIT</v>
      </c>
      <c r="D87" s="13" t="str">
        <f>D86</f>
        <v>601480</v>
      </c>
      <c r="E87" s="38" t="str">
        <f>E86</f>
        <v>60-30</v>
      </c>
      <c r="F87" s="20" t="s">
        <v>615</v>
      </c>
      <c r="G87" s="11" t="s">
        <v>615</v>
      </c>
      <c r="H87" s="136"/>
      <c r="I87" s="140"/>
      <c r="J87" s="136"/>
      <c r="K87" s="136"/>
      <c r="L87" s="139"/>
      <c r="M87" s="139"/>
      <c r="N87" s="136"/>
      <c r="O87" s="29">
        <v>1</v>
      </c>
      <c r="P87" s="136">
        <f>O87*$P$2</f>
        <v>72</v>
      </c>
      <c r="Q87" s="140"/>
      <c r="R87" s="136"/>
      <c r="S87" s="136"/>
      <c r="T87" s="136"/>
      <c r="U87" s="136">
        <f>H87+J87+K87+N87+P87+R87+S87+T87</f>
        <v>72</v>
      </c>
    </row>
    <row r="88" spans="1:21" s="5" customFormat="1" ht="15.75" outlineLevel="1">
      <c r="A88" s="64" t="s">
        <v>977</v>
      </c>
      <c r="B88" s="45"/>
      <c r="C88" s="45"/>
      <c r="D88" s="61"/>
      <c r="E88" s="52"/>
      <c r="F88" s="51"/>
      <c r="G88" s="45"/>
      <c r="H88" s="137">
        <f aca="true" t="shared" si="24" ref="H88:U88">SUBTOTAL(9,H85:H87)</f>
        <v>20.7350164</v>
      </c>
      <c r="I88" s="167">
        <f t="shared" si="24"/>
        <v>24</v>
      </c>
      <c r="J88" s="137">
        <f t="shared" si="24"/>
        <v>1.44</v>
      </c>
      <c r="K88" s="137">
        <f t="shared" si="24"/>
        <v>75</v>
      </c>
      <c r="L88" s="141">
        <f t="shared" si="24"/>
        <v>1</v>
      </c>
      <c r="M88" s="141">
        <f t="shared" si="24"/>
        <v>0.75</v>
      </c>
      <c r="N88" s="137">
        <f t="shared" si="24"/>
        <v>2351.25</v>
      </c>
      <c r="O88" s="65">
        <f t="shared" si="24"/>
        <v>1</v>
      </c>
      <c r="P88" s="137">
        <f t="shared" si="24"/>
        <v>72</v>
      </c>
      <c r="Q88" s="167">
        <f t="shared" si="24"/>
        <v>0</v>
      </c>
      <c r="R88" s="137">
        <f t="shared" si="24"/>
        <v>0</v>
      </c>
      <c r="S88" s="137">
        <f t="shared" si="24"/>
        <v>0</v>
      </c>
      <c r="T88" s="137">
        <f t="shared" si="24"/>
        <v>0</v>
      </c>
      <c r="U88" s="137">
        <f t="shared" si="24"/>
        <v>2520.4250164</v>
      </c>
    </row>
    <row r="89" spans="1:21" ht="15" outlineLevel="2">
      <c r="A89" s="9" t="s">
        <v>20</v>
      </c>
      <c r="B89" s="25" t="s">
        <v>271</v>
      </c>
      <c r="C89" s="16" t="s">
        <v>600</v>
      </c>
      <c r="D89" s="13">
        <v>601473</v>
      </c>
      <c r="E89" s="27" t="s">
        <v>310</v>
      </c>
      <c r="F89" s="20" t="s">
        <v>585</v>
      </c>
      <c r="G89" s="27" t="s">
        <v>585</v>
      </c>
      <c r="H89" s="136"/>
      <c r="I89" s="140"/>
      <c r="J89" s="136"/>
      <c r="K89" s="136"/>
      <c r="L89" s="139">
        <v>1</v>
      </c>
      <c r="M89" s="139">
        <v>1</v>
      </c>
      <c r="N89" s="136">
        <f>L89*M89*$N$2</f>
        <v>3135</v>
      </c>
      <c r="O89" s="11"/>
      <c r="P89" s="136"/>
      <c r="Q89" s="140"/>
      <c r="R89" s="136"/>
      <c r="S89" s="136"/>
      <c r="T89" s="136"/>
      <c r="U89" s="136">
        <f>H89+J89+K89+N89+P89+R89+S89+T89</f>
        <v>3135</v>
      </c>
    </row>
    <row r="90" spans="1:21" ht="15" outlineLevel="2">
      <c r="A90" s="28" t="s">
        <v>20</v>
      </c>
      <c r="B90" s="11" t="str">
        <f>B89</f>
        <v>MCSO</v>
      </c>
      <c r="C90" s="11" t="str">
        <f>C89</f>
        <v>PROGRAMS</v>
      </c>
      <c r="D90" s="13">
        <f>D89</f>
        <v>601473</v>
      </c>
      <c r="E90" s="38" t="str">
        <f>E89</f>
        <v>60-30</v>
      </c>
      <c r="F90" s="20" t="s">
        <v>615</v>
      </c>
      <c r="G90" s="11" t="s">
        <v>615</v>
      </c>
      <c r="H90" s="136"/>
      <c r="I90" s="140"/>
      <c r="J90" s="136"/>
      <c r="K90" s="136"/>
      <c r="L90" s="139"/>
      <c r="M90" s="139"/>
      <c r="N90" s="136"/>
      <c r="O90" s="29">
        <v>0.25</v>
      </c>
      <c r="P90" s="136">
        <f>O90*$P$2</f>
        <v>18</v>
      </c>
      <c r="Q90" s="140"/>
      <c r="R90" s="136"/>
      <c r="S90" s="136"/>
      <c r="T90" s="136"/>
      <c r="U90" s="136">
        <f>H90+J90+K90+N90+P90+R90+S90+T90</f>
        <v>18</v>
      </c>
    </row>
    <row r="91" ht="15" outlineLevel="2"/>
    <row r="92" ht="15" outlineLevel="2"/>
    <row r="93" ht="15" outlineLevel="2"/>
    <row r="94" ht="15" outlineLevel="2"/>
    <row r="95" ht="15" outlineLevel="2"/>
    <row r="96" ht="15" outlineLevel="2"/>
    <row r="97" ht="15" outlineLevel="2"/>
    <row r="98" ht="15" outlineLevel="2"/>
    <row r="99" ht="15" outlineLevel="2"/>
    <row r="100" ht="15" outlineLevel="2"/>
    <row r="101" ht="15" outlineLevel="2"/>
    <row r="102" ht="15" outlineLevel="2"/>
    <row r="103" ht="15" outlineLevel="2"/>
    <row r="104" ht="15" outlineLevel="2"/>
    <row r="105" ht="15" outlineLevel="2"/>
    <row r="106" ht="15" outlineLevel="2"/>
    <row r="107" ht="15" outlineLevel="2"/>
    <row r="108" ht="15" outlineLevel="2"/>
    <row r="109" ht="15" outlineLevel="2"/>
    <row r="110" ht="15" outlineLevel="2"/>
    <row r="111" ht="15" outlineLevel="2"/>
    <row r="112" ht="15" outlineLevel="2"/>
    <row r="113" ht="15" outlineLevel="2"/>
    <row r="114" ht="15" outlineLevel="2"/>
    <row r="115" ht="15" outlineLevel="2"/>
    <row r="116" ht="15" outlineLevel="2"/>
    <row r="117" ht="15" outlineLevel="2"/>
    <row r="118" ht="15" outlineLevel="2"/>
    <row r="119" ht="15" outlineLevel="2"/>
    <row r="120" ht="15" outlineLevel="2"/>
    <row r="121" ht="15" outlineLevel="2"/>
    <row r="122" ht="15" outlineLevel="2"/>
    <row r="123" ht="15" outlineLevel="2"/>
    <row r="124" ht="15" outlineLevel="2"/>
    <row r="125" ht="15" outlineLevel="2"/>
    <row r="126" ht="15" outlineLevel="2"/>
    <row r="127" ht="15" outlineLevel="2"/>
    <row r="128" ht="15" outlineLevel="2"/>
    <row r="129" ht="15" outlineLevel="2"/>
    <row r="130" ht="15" outlineLevel="2"/>
    <row r="131" ht="15" outlineLevel="2"/>
    <row r="132" ht="15" outlineLevel="2"/>
    <row r="133" ht="15" outlineLevel="2"/>
    <row r="134" ht="15" outlineLevel="2"/>
    <row r="135" ht="15" outlineLevel="2"/>
    <row r="136" ht="15" outlineLevel="2"/>
    <row r="137" ht="15" outlineLevel="2"/>
    <row r="138" ht="15" outlineLevel="2"/>
    <row r="139" ht="15" outlineLevel="2"/>
    <row r="140" ht="15" outlineLevel="2"/>
    <row r="141" ht="15" outlineLevel="2"/>
    <row r="142" ht="15" outlineLevel="2"/>
    <row r="143" ht="15" outlineLevel="2"/>
    <row r="144" ht="15" outlineLevel="2"/>
    <row r="145" ht="15" outlineLevel="2"/>
    <row r="146" ht="15" outlineLevel="2"/>
    <row r="147" ht="15" outlineLevel="2"/>
    <row r="148" ht="15" outlineLevel="2"/>
    <row r="149" ht="15" outlineLevel="2"/>
    <row r="150" ht="15" outlineLevel="2"/>
    <row r="151" ht="15" outlineLevel="2"/>
    <row r="152" ht="15" outlineLevel="2"/>
    <row r="153" ht="15" outlineLevel="2"/>
    <row r="154" ht="15" outlineLevel="2"/>
    <row r="155" ht="15" outlineLevel="2"/>
    <row r="156" ht="15" outlineLevel="2"/>
    <row r="157" ht="15" outlineLevel="2"/>
    <row r="158" ht="15" outlineLevel="2"/>
    <row r="159" ht="15" outlineLevel="2"/>
    <row r="160" ht="15" outlineLevel="2"/>
    <row r="161" ht="15" outlineLevel="2"/>
    <row r="162" ht="15" outlineLevel="2"/>
    <row r="163" ht="15" outlineLevel="2"/>
    <row r="164" ht="15" outlineLevel="2"/>
    <row r="165" ht="15" outlineLevel="2"/>
    <row r="166" ht="15" outlineLevel="2"/>
    <row r="167" ht="15" outlineLevel="2"/>
    <row r="168" ht="15" outlineLevel="2"/>
    <row r="169" ht="15" outlineLevel="2"/>
    <row r="170" ht="15" outlineLevel="2"/>
    <row r="171" ht="15" outlineLevel="2"/>
    <row r="172" ht="15" outlineLevel="2"/>
    <row r="173" ht="15" outlineLevel="2"/>
    <row r="174" ht="15" outlineLevel="2"/>
    <row r="175" ht="15" outlineLevel="2"/>
    <row r="176" ht="15" outlineLevel="2"/>
    <row r="177" ht="15" outlineLevel="2"/>
    <row r="178" ht="15" outlineLevel="2"/>
    <row r="179" ht="15" outlineLevel="2"/>
    <row r="180" ht="15" outlineLevel="2"/>
    <row r="181" ht="15" outlineLevel="2"/>
    <row r="182" ht="15" outlineLevel="2"/>
    <row r="183" ht="15" outlineLevel="2"/>
    <row r="184" ht="15" outlineLevel="2"/>
    <row r="185" ht="15" outlineLevel="2"/>
    <row r="186" ht="15" outlineLevel="2"/>
    <row r="187" ht="15" outlineLevel="2"/>
    <row r="188" ht="15" outlineLevel="2"/>
    <row r="189" ht="15" outlineLevel="2"/>
    <row r="190" ht="15" outlineLevel="2"/>
    <row r="191" ht="15" outlineLevel="2"/>
    <row r="192" ht="15" outlineLevel="2"/>
    <row r="193" ht="15" outlineLevel="2"/>
    <row r="194" ht="15" outlineLevel="2"/>
    <row r="195" ht="15" outlineLevel="2"/>
    <row r="196" ht="15" outlineLevel="2"/>
    <row r="197" ht="15" outlineLevel="2"/>
    <row r="198" ht="15" outlineLevel="2"/>
    <row r="199" ht="15" outlineLevel="2"/>
    <row r="200" ht="15" outlineLevel="2"/>
    <row r="201" ht="15" outlineLevel="2"/>
    <row r="202" ht="15" outlineLevel="2"/>
    <row r="203" ht="15" outlineLevel="2"/>
    <row r="204" ht="15" outlineLevel="2"/>
    <row r="205" ht="15" outlineLevel="2"/>
    <row r="206" ht="15" outlineLevel="2"/>
    <row r="207" ht="15" outlineLevel="2"/>
    <row r="208" ht="15" outlineLevel="2"/>
    <row r="209" ht="15" outlineLevel="2"/>
    <row r="210" ht="15" outlineLevel="2"/>
    <row r="211" ht="15" outlineLevel="2"/>
    <row r="212" ht="15" outlineLevel="2"/>
    <row r="213" ht="15" outlineLevel="2"/>
    <row r="214" ht="15" outlineLevel="2"/>
    <row r="215" ht="15" outlineLevel="2"/>
    <row r="216" ht="15" outlineLevel="2"/>
    <row r="217" ht="15" outlineLevel="2"/>
    <row r="218" ht="15" outlineLevel="2"/>
    <row r="219" ht="15" outlineLevel="2"/>
    <row r="220" ht="15" outlineLevel="2"/>
    <row r="221" ht="15" outlineLevel="2"/>
    <row r="222" ht="15" outlineLevel="2"/>
    <row r="223" ht="15" outlineLevel="2"/>
    <row r="224" ht="15" outlineLevel="2"/>
    <row r="225" ht="15" outlineLevel="2"/>
    <row r="226" ht="15" outlineLevel="2"/>
    <row r="227" ht="15" outlineLevel="2"/>
    <row r="228" ht="15" outlineLevel="2"/>
    <row r="229" ht="15" outlineLevel="2"/>
    <row r="230" ht="15" outlineLevel="2"/>
    <row r="231" ht="15" outlineLevel="2"/>
    <row r="232" ht="15" outlineLevel="2"/>
    <row r="233" ht="15" outlineLevel="2"/>
    <row r="234" ht="15" outlineLevel="2"/>
    <row r="235" ht="15" outlineLevel="2"/>
    <row r="236" ht="15" outlineLevel="2"/>
    <row r="237" ht="15" outlineLevel="2"/>
    <row r="238" ht="15" outlineLevel="2"/>
    <row r="239" ht="15" outlineLevel="2"/>
    <row r="240" ht="15" outlineLevel="2"/>
    <row r="241" ht="15" outlineLevel="2"/>
    <row r="242" ht="15" outlineLevel="2"/>
    <row r="243" ht="15" outlineLevel="2"/>
    <row r="244" ht="15" outlineLevel="2"/>
    <row r="245" ht="15" outlineLevel="2"/>
    <row r="246" ht="15" outlineLevel="2"/>
    <row r="247" ht="15" outlineLevel="2"/>
    <row r="248" ht="15" outlineLevel="2"/>
    <row r="249" ht="15" outlineLevel="2"/>
    <row r="250" ht="15" outlineLevel="2"/>
    <row r="251" ht="15" outlineLevel="2"/>
    <row r="252" ht="15" outlineLevel="2"/>
    <row r="253" ht="15" outlineLevel="2"/>
    <row r="254" ht="15" outlineLevel="2"/>
    <row r="255" ht="15" outlineLevel="2"/>
    <row r="256" ht="15" outlineLevel="2"/>
    <row r="257" ht="15" outlineLevel="2"/>
    <row r="258" ht="15" outlineLevel="2"/>
    <row r="259" ht="15" outlineLevel="2"/>
    <row r="260" ht="15" outlineLevel="2"/>
    <row r="261" ht="15" outlineLevel="2"/>
    <row r="262" ht="15" outlineLevel="2"/>
    <row r="263" ht="15" outlineLevel="2"/>
    <row r="264" ht="15" outlineLevel="2"/>
    <row r="265" ht="15" outlineLevel="2"/>
    <row r="266" ht="15" outlineLevel="2"/>
    <row r="267" ht="15" outlineLevel="2"/>
    <row r="268" ht="15" outlineLevel="2"/>
    <row r="269" ht="15" outlineLevel="2"/>
    <row r="270" ht="15" outlineLevel="2"/>
    <row r="271" ht="15" outlineLevel="2"/>
    <row r="272" ht="15" outlineLevel="2"/>
    <row r="273" ht="15" outlineLevel="2"/>
    <row r="274" ht="15" outlineLevel="2"/>
    <row r="275" ht="15" outlineLevel="2"/>
    <row r="276" ht="15" outlineLevel="2"/>
    <row r="277" ht="15" outlineLevel="2"/>
    <row r="278" ht="15" outlineLevel="2"/>
    <row r="279" ht="15" outlineLevel="2"/>
    <row r="280" ht="15" outlineLevel="2"/>
    <row r="281" ht="15" outlineLevel="2"/>
    <row r="282" ht="15" outlineLevel="2"/>
    <row r="283" ht="15" outlineLevel="2"/>
    <row r="284" ht="15" outlineLevel="2"/>
    <row r="285" ht="15" outlineLevel="2"/>
    <row r="286" ht="15" outlineLevel="2"/>
    <row r="287" ht="15" outlineLevel="2"/>
    <row r="288" ht="15" outlineLevel="2"/>
    <row r="289" ht="15" outlineLevel="2"/>
    <row r="290" ht="15" outlineLevel="2"/>
    <row r="291" ht="15" outlineLevel="2"/>
    <row r="292" ht="15" outlineLevel="2"/>
    <row r="293" ht="15" outlineLevel="2"/>
    <row r="294" ht="15" outlineLevel="2"/>
    <row r="295" ht="15" outlineLevel="2"/>
    <row r="296" ht="15" outlineLevel="2"/>
    <row r="297" ht="15" outlineLevel="2"/>
    <row r="298" ht="15" outlineLevel="2"/>
    <row r="299" ht="15" outlineLevel="2"/>
    <row r="300" ht="15" outlineLevel="2"/>
    <row r="301" ht="15" outlineLevel="2"/>
    <row r="302" ht="15" outlineLevel="2"/>
    <row r="303" ht="15" outlineLevel="2"/>
    <row r="304" ht="15" outlineLevel="2"/>
    <row r="305" ht="15" outlineLevel="2"/>
    <row r="306" ht="15" outlineLevel="2"/>
    <row r="307" ht="15" outlineLevel="2"/>
    <row r="308" ht="15" outlineLevel="2"/>
    <row r="309" ht="15" outlineLevel="2"/>
    <row r="310" ht="15" outlineLevel="2"/>
    <row r="311" ht="15" outlineLevel="2"/>
    <row r="312" ht="15" outlineLevel="2"/>
    <row r="313" ht="15" outlineLevel="2"/>
    <row r="314" ht="15" outlineLevel="2"/>
    <row r="315" ht="15" outlineLevel="2"/>
    <row r="316" ht="15" outlineLevel="2"/>
    <row r="317" ht="15" outlineLevel="2"/>
    <row r="318" ht="15" outlineLevel="2"/>
    <row r="319" ht="15" outlineLevel="2"/>
    <row r="320" ht="15" outlineLevel="2"/>
    <row r="321" ht="15" outlineLevel="2"/>
    <row r="322" ht="15" outlineLevel="2"/>
    <row r="323" ht="15" outlineLevel="2"/>
    <row r="324" ht="15" outlineLevel="2"/>
    <row r="325" ht="15" outlineLevel="2"/>
    <row r="326" ht="15" outlineLevel="2"/>
    <row r="327" ht="15" outlineLevel="2"/>
    <row r="328" ht="15" outlineLevel="2"/>
    <row r="329" ht="15" outlineLevel="2"/>
    <row r="330" ht="15" outlineLevel="2"/>
    <row r="331" ht="15" outlineLevel="2"/>
    <row r="332" ht="15" outlineLevel="2"/>
    <row r="333" ht="15" outlineLevel="2"/>
    <row r="334" ht="15" outlineLevel="2"/>
    <row r="335" ht="15" outlineLevel="2"/>
    <row r="336" ht="15" outlineLevel="2"/>
    <row r="337" ht="15" outlineLevel="2"/>
    <row r="338" ht="15" outlineLevel="2"/>
    <row r="339" ht="15" outlineLevel="2"/>
    <row r="340" ht="15" outlineLevel="2"/>
    <row r="341" ht="15" outlineLevel="2"/>
    <row r="342" ht="15" outlineLevel="2"/>
    <row r="343" ht="15" outlineLevel="2"/>
    <row r="344" ht="15" outlineLevel="2"/>
    <row r="345" ht="15" outlineLevel="2"/>
    <row r="346" ht="15" outlineLevel="2"/>
    <row r="347" ht="15" outlineLevel="2"/>
    <row r="348" ht="15" outlineLevel="2"/>
    <row r="349" ht="15" outlineLevel="2"/>
    <row r="350" ht="15" outlineLevel="2"/>
    <row r="351" ht="15" outlineLevel="2"/>
    <row r="352" ht="15" outlineLevel="2"/>
    <row r="353" ht="15" outlineLevel="2"/>
    <row r="354" ht="15" outlineLevel="2"/>
    <row r="355" ht="15" outlineLevel="2"/>
    <row r="356" ht="15" outlineLevel="2"/>
    <row r="357" ht="15" outlineLevel="2"/>
    <row r="358" ht="15" outlineLevel="2"/>
    <row r="359" ht="15" outlineLevel="2"/>
    <row r="360" ht="15" outlineLevel="2"/>
    <row r="361" ht="15" outlineLevel="2"/>
    <row r="362" ht="15" outlineLevel="2"/>
    <row r="363" ht="15" outlineLevel="2"/>
    <row r="364" ht="15" outlineLevel="2"/>
    <row r="365" ht="15" outlineLevel="2"/>
    <row r="366" ht="15" outlineLevel="2"/>
    <row r="367" ht="15" outlineLevel="2"/>
    <row r="368" ht="15" outlineLevel="2"/>
    <row r="369" ht="15" outlineLevel="2"/>
    <row r="370" ht="15" outlineLevel="2"/>
    <row r="371" ht="15" outlineLevel="2"/>
    <row r="372" ht="15" outlineLevel="2"/>
    <row r="373" ht="15" outlineLevel="2"/>
    <row r="374" ht="15" outlineLevel="2"/>
    <row r="375" ht="15" outlineLevel="2"/>
    <row r="376" ht="15" outlineLevel="2"/>
    <row r="377" ht="15" outlineLevel="2"/>
    <row r="378" ht="15" outlineLevel="2"/>
    <row r="379" ht="15" outlineLevel="2"/>
    <row r="380" ht="15" outlineLevel="2"/>
    <row r="381" ht="15" outlineLevel="2"/>
    <row r="382" ht="15" outlineLevel="2"/>
    <row r="383" ht="15" outlineLevel="2"/>
    <row r="384" ht="15" outlineLevel="2"/>
    <row r="385" ht="15" outlineLevel="2"/>
    <row r="386" ht="15" outlineLevel="2"/>
    <row r="387" ht="15" outlineLevel="2"/>
    <row r="388" ht="15" outlineLevel="2"/>
    <row r="389" ht="15" outlineLevel="2"/>
    <row r="390" ht="15" outlineLevel="2"/>
    <row r="391" ht="15" outlineLevel="2"/>
    <row r="392" ht="15" outlineLevel="2"/>
    <row r="393" ht="15" outlineLevel="2"/>
    <row r="394" ht="15" outlineLevel="2"/>
    <row r="395" ht="15" outlineLevel="2"/>
    <row r="396" ht="15" outlineLevel="2"/>
    <row r="397" ht="15" outlineLevel="2"/>
    <row r="398" ht="15" outlineLevel="2"/>
    <row r="399" ht="15" outlineLevel="2"/>
    <row r="400" ht="15" outlineLevel="2"/>
    <row r="401" ht="15" outlineLevel="2"/>
    <row r="402" ht="15" outlineLevel="2"/>
    <row r="403" ht="15" outlineLevel="2"/>
    <row r="404" ht="15" outlineLevel="2"/>
    <row r="405" ht="15" outlineLevel="2"/>
    <row r="406" ht="15" outlineLevel="2"/>
    <row r="407" ht="15" outlineLevel="2"/>
    <row r="408" ht="15" outlineLevel="2"/>
    <row r="409" ht="15" outlineLevel="2"/>
    <row r="410" ht="15" outlineLevel="2"/>
    <row r="411" ht="15" outlineLevel="2"/>
    <row r="412" ht="15" outlineLevel="2"/>
    <row r="413" ht="15" outlineLevel="2"/>
    <row r="414" ht="15" outlineLevel="2"/>
    <row r="415" ht="15" outlineLevel="2"/>
    <row r="416" ht="15" outlineLevel="2"/>
    <row r="417" ht="15" outlineLevel="2"/>
    <row r="418" ht="15" outlineLevel="2"/>
    <row r="419" ht="15" outlineLevel="2"/>
    <row r="420" ht="15" outlineLevel="2"/>
    <row r="421" ht="15" outlineLevel="2"/>
    <row r="422" ht="15" outlineLevel="2"/>
    <row r="423" ht="15" outlineLevel="2"/>
    <row r="424" ht="15" outlineLevel="2"/>
    <row r="425" ht="15" outlineLevel="2"/>
    <row r="426" ht="15" outlineLevel="2"/>
    <row r="427" ht="15" outlineLevel="2"/>
    <row r="428" ht="15" outlineLevel="2"/>
    <row r="429" ht="15" outlineLevel="2"/>
    <row r="430" ht="15" outlineLevel="2"/>
    <row r="431" ht="15" outlineLevel="2"/>
    <row r="432" ht="15" outlineLevel="2"/>
    <row r="433" ht="15" outlineLevel="2"/>
    <row r="434" ht="15" outlineLevel="2"/>
    <row r="435" ht="15" outlineLevel="2"/>
    <row r="436" ht="15" outlineLevel="2"/>
    <row r="437" ht="15" outlineLevel="2"/>
    <row r="438" ht="15" outlineLevel="2"/>
    <row r="439" ht="15" outlineLevel="2"/>
    <row r="440" ht="15" outlineLevel="2"/>
    <row r="441" ht="15" outlineLevel="2"/>
    <row r="442" ht="15" outlineLevel="2"/>
    <row r="443" ht="15" outlineLevel="2"/>
    <row r="444" ht="15" outlineLevel="2"/>
    <row r="445" ht="15" outlineLevel="2"/>
    <row r="446" ht="15" outlineLevel="2"/>
    <row r="447" ht="15" outlineLevel="2"/>
    <row r="448" ht="15" outlineLevel="2"/>
    <row r="449" ht="15" outlineLevel="2"/>
    <row r="450" ht="15" outlineLevel="2"/>
    <row r="451" ht="15" outlineLevel="2"/>
    <row r="452" ht="15" outlineLevel="2"/>
    <row r="453" ht="15" outlineLevel="2"/>
    <row r="454" ht="15" outlineLevel="2"/>
    <row r="455" ht="15" outlineLevel="2"/>
    <row r="456" ht="15" outlineLevel="2"/>
    <row r="457" ht="15" outlineLevel="2"/>
    <row r="458" ht="15" outlineLevel="2"/>
    <row r="459" ht="15" outlineLevel="2"/>
    <row r="460" ht="15" outlineLevel="2"/>
    <row r="461" ht="15" outlineLevel="2"/>
    <row r="462" ht="15" outlineLevel="2"/>
    <row r="463" ht="15" outlineLevel="2"/>
    <row r="464" ht="15" outlineLevel="2"/>
    <row r="465" ht="15" outlineLevel="2"/>
    <row r="466" ht="15" outlineLevel="2"/>
    <row r="467" ht="15" outlineLevel="2"/>
    <row r="468" ht="15" outlineLevel="2"/>
    <row r="469" ht="15" outlineLevel="2"/>
    <row r="470" ht="15" outlineLevel="2"/>
    <row r="471" ht="15" outlineLevel="2"/>
    <row r="472" ht="15" outlineLevel="2"/>
    <row r="473" ht="15" outlineLevel="2"/>
    <row r="474" ht="15" outlineLevel="2"/>
    <row r="475" ht="15" outlineLevel="2"/>
    <row r="476" ht="15" outlineLevel="2"/>
    <row r="477" ht="15" outlineLevel="2"/>
    <row r="478" ht="15" outlineLevel="2"/>
    <row r="479" ht="15" outlineLevel="2"/>
    <row r="480" ht="15" outlineLevel="2"/>
    <row r="481" ht="15" outlineLevel="2"/>
    <row r="482" ht="15" outlineLevel="2"/>
    <row r="483" ht="15" outlineLevel="2"/>
    <row r="484" ht="15" outlineLevel="2"/>
    <row r="485" ht="15" outlineLevel="2"/>
    <row r="486" ht="15" outlineLevel="2"/>
    <row r="487" ht="15" outlineLevel="2"/>
    <row r="488" ht="15" outlineLevel="2"/>
    <row r="489" ht="15" outlineLevel="2"/>
    <row r="490" ht="15" outlineLevel="2"/>
    <row r="491" ht="15" outlineLevel="2"/>
    <row r="492" ht="15" outlineLevel="2"/>
    <row r="493" ht="15" outlineLevel="2"/>
    <row r="494" ht="15" outlineLevel="2"/>
    <row r="495" ht="15" outlineLevel="2"/>
    <row r="496" ht="15" outlineLevel="2"/>
    <row r="497" ht="15" outlineLevel="2"/>
    <row r="498" ht="15" outlineLevel="2"/>
    <row r="499" ht="15" outlineLevel="2"/>
    <row r="500" ht="15" outlineLevel="2"/>
    <row r="501" ht="15" outlineLevel="2"/>
    <row r="502" ht="15" outlineLevel="2"/>
    <row r="503" ht="15" outlineLevel="2"/>
    <row r="504" ht="15" outlineLevel="2"/>
    <row r="505" ht="15" outlineLevel="2"/>
    <row r="506" ht="15" outlineLevel="2"/>
    <row r="507" ht="15" outlineLevel="2"/>
    <row r="508" ht="15" outlineLevel="2"/>
    <row r="509" ht="15" outlineLevel="2"/>
    <row r="510" ht="15" outlineLevel="2"/>
    <row r="511" ht="15" outlineLevel="2"/>
    <row r="512" ht="15" outlineLevel="2"/>
    <row r="513" ht="15" outlineLevel="2"/>
    <row r="514" ht="15" outlineLevel="2"/>
    <row r="515" ht="15" outlineLevel="2"/>
    <row r="516" ht="15" outlineLevel="2"/>
    <row r="517" ht="15" outlineLevel="2"/>
    <row r="518" ht="15" outlineLevel="2"/>
    <row r="519" ht="15" outlineLevel="2"/>
    <row r="520" ht="15" outlineLevel="2"/>
    <row r="521" ht="15" outlineLevel="2"/>
    <row r="522" ht="15" outlineLevel="2"/>
    <row r="523" ht="15" outlineLevel="2"/>
    <row r="524" ht="15" outlineLevel="2"/>
    <row r="525" ht="15" outlineLevel="2"/>
    <row r="526" ht="15" outlineLevel="2"/>
    <row r="527" ht="15" outlineLevel="2"/>
    <row r="528" ht="15" outlineLevel="2"/>
    <row r="529" ht="15" outlineLevel="2"/>
    <row r="530" ht="15" outlineLevel="2"/>
    <row r="531" ht="15" outlineLevel="2"/>
    <row r="532" ht="15" outlineLevel="2"/>
    <row r="533" ht="15" outlineLevel="2"/>
    <row r="534" ht="15" outlineLevel="2"/>
    <row r="535" ht="15" outlineLevel="2"/>
    <row r="536" ht="15" outlineLevel="2"/>
    <row r="537" ht="15" outlineLevel="2"/>
    <row r="538" ht="15" outlineLevel="2"/>
    <row r="539" ht="15" outlineLevel="2"/>
    <row r="540" ht="15" outlineLevel="2"/>
    <row r="541" ht="15" outlineLevel="2"/>
    <row r="542" ht="15" outlineLevel="2"/>
    <row r="543" ht="15" outlineLevel="2"/>
    <row r="544" ht="15" outlineLevel="2"/>
    <row r="545" ht="15" outlineLevel="2"/>
    <row r="546" ht="15" outlineLevel="2"/>
    <row r="547" ht="15" outlineLevel="2"/>
    <row r="548" ht="15" outlineLevel="2"/>
    <row r="549" ht="15" outlineLevel="2"/>
    <row r="550" ht="15" outlineLevel="2"/>
    <row r="551" ht="15" outlineLevel="2"/>
    <row r="552" ht="15" outlineLevel="2"/>
    <row r="553" ht="15" outlineLevel="2"/>
    <row r="554" ht="15" outlineLevel="2"/>
    <row r="555" ht="15" outlineLevel="2"/>
    <row r="556" ht="15" outlineLevel="2"/>
    <row r="557" ht="15" outlineLevel="2"/>
    <row r="558" ht="15" outlineLevel="2"/>
    <row r="559" ht="15" outlineLevel="2"/>
    <row r="560" ht="15" outlineLevel="2"/>
    <row r="561" ht="15" outlineLevel="2"/>
    <row r="562" ht="15" outlineLevel="2"/>
    <row r="563" ht="15" outlineLevel="2"/>
    <row r="564" ht="15" outlineLevel="2"/>
    <row r="565" ht="15" outlineLevel="2"/>
    <row r="566" ht="15" outlineLevel="2"/>
    <row r="567" ht="15" outlineLevel="2"/>
    <row r="568" ht="15" outlineLevel="2"/>
    <row r="569" ht="15" outlineLevel="2"/>
    <row r="570" ht="15" outlineLevel="2"/>
    <row r="571" ht="15" outlineLevel="2"/>
    <row r="572" ht="15" outlineLevel="2"/>
    <row r="573" ht="15" outlineLevel="2"/>
    <row r="574" ht="15" outlineLevel="2"/>
    <row r="575" ht="15" outlineLevel="2"/>
    <row r="576" ht="15" outlineLevel="2"/>
    <row r="577" ht="15" outlineLevel="2"/>
    <row r="578" ht="15" outlineLevel="2"/>
    <row r="579" ht="15" outlineLevel="2"/>
    <row r="580" ht="15" outlineLevel="2"/>
    <row r="581" ht="15" outlineLevel="2"/>
    <row r="582" ht="15" outlineLevel="2"/>
    <row r="583" ht="15" outlineLevel="2"/>
    <row r="584" ht="15" outlineLevel="2"/>
    <row r="585" ht="15" outlineLevel="2"/>
    <row r="586" ht="15" outlineLevel="2"/>
    <row r="587" ht="15" outlineLevel="2"/>
    <row r="588" ht="15" outlineLevel="2"/>
    <row r="589" ht="15" outlineLevel="2"/>
    <row r="590" ht="15" outlineLevel="2"/>
    <row r="591" ht="15" outlineLevel="2"/>
    <row r="592" ht="15" outlineLevel="2"/>
    <row r="593" ht="15" outlineLevel="2"/>
    <row r="594" ht="15" outlineLevel="2"/>
    <row r="595" ht="15" outlineLevel="2"/>
    <row r="596" ht="15" outlineLevel="2"/>
    <row r="597" ht="15" outlineLevel="2"/>
    <row r="598" ht="15" outlineLevel="2"/>
    <row r="599" ht="15" outlineLevel="2"/>
    <row r="600" ht="15" outlineLevel="2"/>
    <row r="601" ht="15" outlineLevel="2"/>
    <row r="602" ht="15" outlineLevel="2"/>
    <row r="603" ht="15" outlineLevel="2"/>
    <row r="604" ht="15" outlineLevel="2"/>
    <row r="605" ht="15" outlineLevel="2"/>
    <row r="606" ht="15" outlineLevel="2"/>
    <row r="607" ht="15" outlineLevel="2"/>
    <row r="608" ht="15" outlineLevel="2"/>
    <row r="609" ht="15" outlineLevel="2"/>
    <row r="610" ht="15" outlineLevel="2"/>
    <row r="611" ht="15" outlineLevel="2"/>
    <row r="612" ht="15" outlineLevel="2"/>
    <row r="613" ht="15" outlineLevel="2"/>
    <row r="614" ht="15" outlineLevel="2"/>
    <row r="615" ht="15" outlineLevel="2"/>
    <row r="616" ht="15" outlineLevel="2"/>
    <row r="617" ht="15" outlineLevel="2"/>
    <row r="618" ht="15" outlineLevel="2"/>
    <row r="619" ht="15" outlineLevel="2"/>
    <row r="620" ht="15" outlineLevel="2"/>
    <row r="621" ht="15" outlineLevel="2"/>
    <row r="622" ht="15" outlineLevel="2"/>
    <row r="623" ht="15" outlineLevel="2"/>
    <row r="624" ht="15" outlineLevel="2"/>
    <row r="625" ht="15" outlineLevel="2"/>
    <row r="626" ht="15" outlineLevel="2"/>
    <row r="627" ht="15" outlineLevel="2"/>
    <row r="628" ht="15" outlineLevel="2"/>
    <row r="629" ht="15" outlineLevel="2"/>
    <row r="630" ht="15" outlineLevel="2"/>
    <row r="631" ht="15" outlineLevel="2"/>
    <row r="632" ht="15" outlineLevel="2"/>
    <row r="633" ht="15" outlineLevel="2"/>
    <row r="634" ht="15" outlineLevel="2"/>
    <row r="635" ht="15" outlineLevel="2"/>
    <row r="636" ht="15" outlineLevel="2"/>
    <row r="637" ht="15" outlineLevel="2"/>
    <row r="638" ht="15" outlineLevel="2"/>
    <row r="639" ht="15" outlineLevel="2"/>
    <row r="640" ht="15" outlineLevel="2"/>
    <row r="641" ht="15" outlineLevel="2"/>
    <row r="642" ht="15" outlineLevel="2"/>
    <row r="643" ht="15" outlineLevel="2"/>
    <row r="644" ht="15" outlineLevel="2"/>
    <row r="645" ht="15" outlineLevel="2"/>
    <row r="646" ht="15" outlineLevel="2"/>
    <row r="647" ht="15" outlineLevel="2"/>
    <row r="648" ht="15" outlineLevel="2"/>
    <row r="649" ht="15" outlineLevel="2"/>
    <row r="650" ht="15" outlineLevel="2"/>
    <row r="651" ht="15" outlineLevel="2"/>
    <row r="652" ht="15" outlineLevel="2"/>
    <row r="653" ht="15" outlineLevel="2"/>
    <row r="654" ht="15" outlineLevel="2"/>
    <row r="655" ht="15" outlineLevel="2"/>
    <row r="656" ht="15" outlineLevel="2"/>
    <row r="657" ht="15" outlineLevel="2"/>
    <row r="658" ht="15" outlineLevel="2"/>
    <row r="659" ht="15" outlineLevel="2"/>
    <row r="660" ht="15" outlineLevel="2"/>
    <row r="661" ht="15" outlineLevel="2"/>
    <row r="662" ht="15" outlineLevel="2"/>
    <row r="663" ht="15" outlineLevel="2"/>
    <row r="664" ht="15" outlineLevel="2"/>
    <row r="665" ht="15" outlineLevel="2"/>
    <row r="666" ht="15" outlineLevel="2"/>
    <row r="667" ht="15" outlineLevel="2"/>
    <row r="668" ht="15" outlineLevel="2"/>
    <row r="669" ht="15" outlineLevel="2"/>
    <row r="670" ht="15" outlineLevel="2"/>
    <row r="671" ht="15" outlineLevel="2"/>
    <row r="672" ht="15" outlineLevel="2"/>
    <row r="673" ht="15" outlineLevel="2"/>
    <row r="674" ht="15" outlineLevel="2"/>
    <row r="675" ht="15" outlineLevel="2"/>
    <row r="676" ht="15" outlineLevel="2"/>
    <row r="677" ht="15" outlineLevel="2"/>
    <row r="678" ht="15" outlineLevel="2"/>
    <row r="679" ht="15" outlineLevel="2"/>
    <row r="680" ht="15" outlineLevel="2"/>
    <row r="681" ht="15" outlineLevel="2"/>
    <row r="682" ht="15" outlineLevel="2"/>
    <row r="683" ht="15" outlineLevel="2"/>
    <row r="684" ht="15" outlineLevel="2"/>
    <row r="685" ht="15" outlineLevel="2"/>
    <row r="686" ht="15" outlineLevel="2"/>
    <row r="687" ht="15" outlineLevel="2"/>
    <row r="688" ht="15" outlineLevel="2"/>
    <row r="689" ht="15" outlineLevel="2"/>
    <row r="690" ht="15" outlineLevel="2"/>
    <row r="691" ht="15" outlineLevel="2"/>
    <row r="692" ht="15" outlineLevel="2"/>
    <row r="693" ht="15" outlineLevel="2"/>
    <row r="694" ht="15" outlineLevel="2"/>
    <row r="695" ht="15" outlineLevel="2"/>
    <row r="696" ht="15" outlineLevel="2"/>
    <row r="697" ht="15" outlineLevel="2"/>
    <row r="698" ht="15" outlineLevel="2"/>
    <row r="699" ht="15" outlineLevel="2"/>
    <row r="700" ht="15" outlineLevel="2"/>
    <row r="701" ht="15" outlineLevel="2"/>
    <row r="702" ht="15" outlineLevel="2"/>
    <row r="703" ht="15" outlineLevel="2"/>
    <row r="704" ht="15" outlineLevel="2"/>
    <row r="705" ht="15" outlineLevel="2"/>
    <row r="706" ht="15" outlineLevel="2"/>
    <row r="707" ht="15" outlineLevel="2"/>
    <row r="708" ht="15" outlineLevel="2"/>
    <row r="709" ht="15" outlineLevel="2"/>
    <row r="710" ht="15" outlineLevel="2"/>
    <row r="711" ht="15" outlineLevel="2"/>
    <row r="712" ht="15" outlineLevel="2"/>
    <row r="713" ht="15" outlineLevel="2"/>
    <row r="714" ht="15" outlineLevel="2"/>
    <row r="715" ht="15" outlineLevel="2"/>
    <row r="716" ht="15" outlineLevel="2"/>
    <row r="717" ht="15" outlineLevel="2"/>
    <row r="718" ht="15" outlineLevel="2"/>
    <row r="719" ht="15" outlineLevel="2"/>
    <row r="720" ht="15" outlineLevel="2"/>
    <row r="721" ht="15" outlineLevel="2"/>
    <row r="722" ht="15" outlineLevel="2"/>
    <row r="723" ht="15" outlineLevel="2"/>
    <row r="724" ht="15" outlineLevel="2"/>
    <row r="725" ht="15" outlineLevel="2"/>
    <row r="726" ht="15" outlineLevel="2"/>
    <row r="727" ht="15" outlineLevel="2"/>
    <row r="728" ht="15" outlineLevel="2"/>
    <row r="729" ht="15" outlineLevel="2"/>
    <row r="730" ht="15" outlineLevel="2"/>
    <row r="731" ht="15" outlineLevel="2"/>
    <row r="732" ht="15" outlineLevel="2"/>
    <row r="733" ht="15" outlineLevel="2"/>
    <row r="734" ht="15" outlineLevel="2"/>
    <row r="735" ht="15" outlineLevel="2"/>
    <row r="736" ht="15" outlineLevel="2"/>
    <row r="737" ht="15" outlineLevel="2"/>
    <row r="738" ht="15" outlineLevel="2"/>
    <row r="739" ht="15" outlineLevel="2"/>
    <row r="740" ht="15" outlineLevel="2"/>
    <row r="741" ht="15" outlineLevel="2"/>
    <row r="742" ht="15" outlineLevel="2"/>
    <row r="743" ht="15" outlineLevel="2"/>
    <row r="744" ht="15" outlineLevel="2"/>
    <row r="745" ht="15" outlineLevel="2"/>
    <row r="746" ht="15" outlineLevel="2"/>
    <row r="747" ht="15" outlineLevel="2"/>
    <row r="748" ht="15" outlineLevel="2"/>
    <row r="749" ht="15" outlineLevel="2"/>
    <row r="750" ht="15" outlineLevel="2"/>
    <row r="751" ht="15" outlineLevel="2"/>
    <row r="752" ht="15" outlineLevel="2"/>
    <row r="753" ht="15" outlineLevel="2"/>
    <row r="754" ht="15" outlineLevel="2"/>
    <row r="755" ht="15" outlineLevel="2"/>
    <row r="756" ht="15" outlineLevel="2"/>
    <row r="757" ht="15" outlineLevel="2"/>
    <row r="758" ht="15" outlineLevel="2"/>
    <row r="759" ht="15" outlineLevel="2"/>
    <row r="760" ht="15" outlineLevel="2"/>
    <row r="761" ht="15" outlineLevel="2"/>
    <row r="762" ht="15" outlineLevel="2"/>
    <row r="763" ht="15" outlineLevel="2"/>
    <row r="764" ht="15" outlineLevel="2"/>
    <row r="765" ht="15" outlineLevel="2"/>
    <row r="766" ht="15" outlineLevel="2"/>
    <row r="767" ht="15" outlineLevel="2"/>
    <row r="768" ht="15" outlineLevel="2"/>
    <row r="769" ht="15" outlineLevel="2"/>
    <row r="770" ht="15" outlineLevel="2"/>
    <row r="771" ht="15" outlineLevel="2"/>
    <row r="772" ht="15" outlineLevel="2"/>
    <row r="773" ht="15" outlineLevel="2"/>
    <row r="774" ht="15" outlineLevel="2"/>
    <row r="775" ht="15" outlineLevel="2"/>
    <row r="776" ht="15" outlineLevel="2"/>
    <row r="777" ht="15" outlineLevel="2"/>
    <row r="778" ht="15" outlineLevel="2"/>
    <row r="779" ht="15" outlineLevel="2"/>
    <row r="780" ht="15" outlineLevel="2"/>
    <row r="781" ht="15" outlineLevel="2"/>
    <row r="782" ht="15" outlineLevel="2"/>
    <row r="783" ht="15" outlineLevel="2"/>
    <row r="784" ht="15" outlineLevel="2"/>
    <row r="785" ht="15" outlineLevel="2"/>
    <row r="786" ht="15" outlineLevel="2"/>
    <row r="787" ht="15" outlineLevel="2"/>
    <row r="788" ht="15" outlineLevel="2"/>
    <row r="789" ht="15" outlineLevel="2"/>
    <row r="790" ht="15" outlineLevel="2"/>
    <row r="791" ht="15" outlineLevel="2"/>
    <row r="792" ht="15" outlineLevel="2"/>
    <row r="793" ht="15" outlineLevel="2"/>
    <row r="794" ht="15" outlineLevel="2"/>
    <row r="795" ht="15" outlineLevel="2"/>
    <row r="796" ht="15" outlineLevel="2"/>
    <row r="797" ht="15" outlineLevel="2"/>
    <row r="798" ht="15" outlineLevel="2"/>
    <row r="799" ht="15" outlineLevel="2"/>
    <row r="800" ht="15" outlineLevel="2"/>
    <row r="801" ht="15" outlineLevel="2"/>
    <row r="802" ht="15" outlineLevel="2"/>
    <row r="803" ht="15" outlineLevel="2"/>
    <row r="804" ht="15" outlineLevel="2"/>
    <row r="805" ht="15" outlineLevel="2"/>
    <row r="806" ht="15" outlineLevel="2"/>
    <row r="807" ht="15" outlineLevel="2"/>
    <row r="808" ht="15" outlineLevel="2"/>
    <row r="809" ht="15" outlineLevel="2"/>
    <row r="810" ht="15" outlineLevel="2"/>
    <row r="811" ht="15" outlineLevel="2"/>
    <row r="812" ht="15" outlineLevel="2"/>
    <row r="813" ht="15" outlineLevel="2"/>
    <row r="814" ht="15" outlineLevel="2"/>
    <row r="815" ht="15" outlineLevel="2"/>
    <row r="816" ht="15" outlineLevel="2"/>
    <row r="817" ht="15" outlineLevel="2"/>
    <row r="818" ht="15" outlineLevel="2"/>
    <row r="819" ht="15" outlineLevel="2"/>
    <row r="820" ht="15" outlineLevel="2"/>
    <row r="821" ht="15" outlineLevel="2"/>
    <row r="822" ht="15" outlineLevel="2"/>
    <row r="823" ht="15" outlineLevel="2"/>
    <row r="824" ht="15" outlineLevel="2"/>
    <row r="825" ht="15" outlineLevel="2"/>
    <row r="826" ht="15" outlineLevel="2"/>
    <row r="827" ht="15" outlineLevel="2"/>
    <row r="828" ht="15" outlineLevel="2"/>
    <row r="829" ht="15" outlineLevel="2"/>
    <row r="830" ht="15" outlineLevel="2"/>
    <row r="831" ht="15" outlineLevel="2"/>
    <row r="832" ht="15" outlineLevel="2"/>
    <row r="833" ht="15" outlineLevel="2"/>
    <row r="834" ht="15" outlineLevel="2"/>
    <row r="835" ht="15" outlineLevel="2"/>
    <row r="836" ht="15" outlineLevel="2"/>
    <row r="837" ht="15" outlineLevel="2"/>
    <row r="838" ht="15" outlineLevel="2"/>
    <row r="839" ht="15" outlineLevel="2"/>
    <row r="840" ht="15" outlineLevel="2"/>
    <row r="841" ht="15" outlineLevel="2"/>
    <row r="842" ht="15" outlineLevel="2"/>
    <row r="843" ht="15" outlineLevel="2"/>
    <row r="844" ht="15" outlineLevel="2"/>
    <row r="845" ht="15" outlineLevel="2"/>
    <row r="846" ht="15" outlineLevel="2"/>
    <row r="847" ht="15" outlineLevel="2"/>
    <row r="848" ht="15" outlineLevel="2"/>
    <row r="849" ht="15" outlineLevel="2"/>
    <row r="850" ht="15" outlineLevel="2"/>
    <row r="851" ht="15" outlineLevel="2"/>
    <row r="852" ht="15" outlineLevel="2"/>
    <row r="853" ht="15" outlineLevel="2"/>
    <row r="854" ht="15" outlineLevel="2"/>
    <row r="855" ht="15" outlineLevel="2"/>
    <row r="856" ht="15" outlineLevel="2"/>
    <row r="857" ht="15" outlineLevel="2"/>
    <row r="858" ht="15" outlineLevel="2"/>
    <row r="859" ht="15" outlineLevel="2"/>
    <row r="860" ht="15" outlineLevel="2"/>
    <row r="861" ht="15" outlineLevel="2"/>
    <row r="862" ht="15" outlineLevel="2"/>
    <row r="863" ht="15" outlineLevel="2"/>
    <row r="864" ht="15" outlineLevel="2"/>
    <row r="865" ht="15" outlineLevel="2"/>
    <row r="866" ht="15" outlineLevel="2"/>
    <row r="867" ht="15" outlineLevel="2"/>
    <row r="868" ht="15" outlineLevel="2"/>
    <row r="869" ht="15" outlineLevel="2"/>
    <row r="870" ht="15" outlineLevel="2"/>
    <row r="871" ht="15" outlineLevel="2"/>
    <row r="872" ht="15" outlineLevel="2"/>
    <row r="873" ht="15" outlineLevel="2"/>
    <row r="874" ht="15" outlineLevel="2"/>
    <row r="875" ht="15" outlineLevel="2"/>
    <row r="876" ht="15" outlineLevel="2"/>
    <row r="877" ht="15" outlineLevel="2"/>
    <row r="878" ht="15" outlineLevel="2"/>
    <row r="879" ht="15" outlineLevel="2"/>
    <row r="880" ht="15" outlineLevel="2"/>
    <row r="881" ht="15" outlineLevel="2"/>
    <row r="882" ht="15" outlineLevel="2"/>
    <row r="883" ht="15" outlineLevel="2"/>
    <row r="884" ht="15" outlineLevel="2"/>
    <row r="885" ht="15" outlineLevel="2"/>
    <row r="886" ht="15" outlineLevel="2"/>
    <row r="887" ht="15" outlineLevel="2"/>
    <row r="888" ht="15" outlineLevel="2"/>
    <row r="889" ht="15" outlineLevel="2"/>
    <row r="890" ht="15" outlineLevel="2"/>
    <row r="891" ht="15" outlineLevel="2"/>
    <row r="892" ht="15" outlineLevel="2"/>
    <row r="893" ht="15" outlineLevel="2"/>
    <row r="894" ht="15" outlineLevel="2"/>
    <row r="895" ht="15" outlineLevel="2"/>
    <row r="896" ht="15" outlineLevel="2"/>
    <row r="897" ht="15" outlineLevel="2"/>
    <row r="898" ht="15" outlineLevel="2"/>
    <row r="899" ht="15" outlineLevel="2"/>
    <row r="900" ht="15" outlineLevel="2"/>
    <row r="901" ht="15" outlineLevel="2"/>
    <row r="902" ht="15" outlineLevel="2"/>
    <row r="903" ht="15" outlineLevel="2"/>
    <row r="904" ht="15" outlineLevel="2"/>
    <row r="905" ht="15" outlineLevel="2"/>
    <row r="906" ht="15" outlineLevel="2"/>
    <row r="907" ht="15" outlineLevel="2"/>
    <row r="908" ht="15" outlineLevel="2"/>
    <row r="909" ht="15" outlineLevel="2"/>
    <row r="910" ht="15" outlineLevel="2"/>
    <row r="911" ht="15" outlineLevel="2"/>
    <row r="912" ht="15" outlineLevel="2"/>
    <row r="913" ht="15" outlineLevel="2"/>
    <row r="914" ht="15" outlineLevel="2"/>
    <row r="915" ht="15" outlineLevel="2"/>
    <row r="916" ht="15" outlineLevel="2"/>
    <row r="917" ht="15" outlineLevel="2"/>
    <row r="918" ht="15" outlineLevel="2"/>
    <row r="919" ht="15" outlineLevel="2"/>
    <row r="920" ht="15" outlineLevel="2"/>
    <row r="921" ht="15" outlineLevel="2"/>
    <row r="922" ht="15" outlineLevel="2"/>
    <row r="923" ht="15" outlineLevel="2"/>
    <row r="924" ht="15" outlineLevel="2"/>
    <row r="925" ht="15" outlineLevel="2"/>
    <row r="926" ht="15" outlineLevel="2"/>
    <row r="927" ht="15" outlineLevel="2"/>
    <row r="928" ht="15" outlineLevel="2"/>
    <row r="929" ht="15" outlineLevel="2"/>
    <row r="930" ht="15" outlineLevel="2"/>
    <row r="931" ht="15" outlineLevel="2"/>
    <row r="932" ht="15" outlineLevel="2"/>
    <row r="933" ht="15" outlineLevel="2"/>
    <row r="934" ht="15" outlineLevel="2"/>
    <row r="935" ht="15" outlineLevel="2"/>
    <row r="936" ht="15" outlineLevel="2"/>
    <row r="937" ht="15" outlineLevel="2"/>
    <row r="938" ht="15" outlineLevel="2"/>
    <row r="939" ht="15" outlineLevel="2"/>
    <row r="940" ht="15" outlineLevel="2"/>
    <row r="941" ht="15" outlineLevel="2"/>
    <row r="942" ht="15" outlineLevel="2"/>
    <row r="943" ht="15" outlineLevel="2"/>
    <row r="944" ht="15" outlineLevel="2"/>
    <row r="945" ht="15" outlineLevel="2"/>
    <row r="946" ht="15" outlineLevel="2"/>
    <row r="947" ht="15" outlineLevel="2"/>
    <row r="948" ht="15" outlineLevel="2"/>
    <row r="949" ht="15" outlineLevel="2"/>
    <row r="950" ht="15" outlineLevel="2"/>
    <row r="951" ht="15" outlineLevel="2"/>
    <row r="952" ht="15" outlineLevel="2"/>
    <row r="953" ht="15" outlineLevel="2"/>
    <row r="954" ht="15" outlineLevel="2"/>
    <row r="955" ht="15" outlineLevel="2"/>
    <row r="956" ht="15" outlineLevel="2"/>
    <row r="957" ht="15" outlineLevel="2"/>
    <row r="958" ht="15" outlineLevel="2"/>
    <row r="959" ht="15" outlineLevel="2"/>
    <row r="960" ht="15" outlineLevel="2"/>
    <row r="961" ht="15" outlineLevel="2"/>
    <row r="962" ht="15" outlineLevel="2"/>
    <row r="963" ht="15" outlineLevel="2"/>
    <row r="964" ht="15" outlineLevel="2"/>
    <row r="965" ht="15" outlineLevel="2"/>
    <row r="966" ht="15" outlineLevel="2"/>
    <row r="967" ht="15" outlineLevel="2"/>
    <row r="968" ht="15" outlineLevel="2"/>
    <row r="969" ht="15" outlineLevel="2"/>
    <row r="970" ht="15" outlineLevel="2"/>
    <row r="971" ht="15" outlineLevel="2"/>
    <row r="972" ht="15" outlineLevel="2"/>
    <row r="973" ht="15" outlineLevel="2"/>
    <row r="974" ht="15" outlineLevel="2"/>
    <row r="975" ht="15" outlineLevel="2"/>
    <row r="976" ht="15" outlineLevel="2"/>
    <row r="977" ht="15" outlineLevel="2"/>
    <row r="978" ht="15" outlineLevel="2"/>
    <row r="979" ht="15" outlineLevel="2"/>
    <row r="980" ht="15" outlineLevel="2"/>
    <row r="981" ht="15" outlineLevel="2"/>
    <row r="982" ht="15" outlineLevel="2"/>
    <row r="983" ht="15" outlineLevel="2"/>
    <row r="984" ht="15" outlineLevel="2"/>
    <row r="985" ht="15" outlineLevel="2"/>
    <row r="986" ht="15" outlineLevel="2"/>
    <row r="987" ht="15" outlineLevel="2"/>
    <row r="988" ht="15" outlineLevel="2"/>
    <row r="989" ht="15" outlineLevel="2"/>
    <row r="990" ht="15" outlineLevel="2"/>
    <row r="991" ht="15" outlineLevel="2"/>
    <row r="992" ht="15" outlineLevel="2"/>
    <row r="993" ht="15" outlineLevel="2"/>
    <row r="994" ht="15" outlineLevel="2"/>
    <row r="995" ht="15" outlineLevel="2"/>
    <row r="996" ht="15" outlineLevel="2"/>
    <row r="997" ht="15" outlineLevel="2"/>
    <row r="998" ht="15" outlineLevel="2"/>
    <row r="999" ht="15" outlineLevel="2"/>
    <row r="1000" ht="15" outlineLevel="2"/>
    <row r="1001" ht="15" outlineLevel="2"/>
    <row r="1002" ht="15" outlineLevel="2"/>
    <row r="1003" ht="15" outlineLevel="2"/>
    <row r="1004" ht="15" outlineLevel="2"/>
    <row r="1005" ht="15" outlineLevel="2"/>
    <row r="1006" ht="15" outlineLevel="2"/>
    <row r="1007" ht="15" outlineLevel="2"/>
    <row r="1008" ht="15" outlineLevel="2"/>
    <row r="1009" ht="15" outlineLevel="2"/>
    <row r="1010" ht="15" outlineLevel="2"/>
    <row r="1011" ht="15" outlineLevel="2"/>
    <row r="1012" ht="15" outlineLevel="2"/>
    <row r="1013" ht="15" outlineLevel="2"/>
    <row r="1014" ht="15" outlineLevel="2"/>
    <row r="1015" ht="15" outlineLevel="2"/>
    <row r="1016" ht="15" outlineLevel="2"/>
    <row r="1017" ht="15" outlineLevel="2"/>
    <row r="1018" ht="15" outlineLevel="2"/>
    <row r="1019" ht="15" outlineLevel="2"/>
    <row r="1020" ht="15" outlineLevel="2"/>
    <row r="1021" ht="15" outlineLevel="2"/>
    <row r="1022" ht="15" outlineLevel="2"/>
    <row r="1023" ht="15" outlineLevel="2"/>
    <row r="1024" ht="15" outlineLevel="2"/>
    <row r="1025" ht="15" outlineLevel="2"/>
    <row r="1026" ht="15" outlineLevel="2"/>
    <row r="1027" ht="15" outlineLevel="2"/>
    <row r="1028" ht="15" outlineLevel="2"/>
    <row r="1029" ht="15" outlineLevel="2"/>
    <row r="1030" ht="15" outlineLevel="2"/>
    <row r="1031" ht="15" outlineLevel="2"/>
    <row r="1032" ht="15" outlineLevel="2"/>
    <row r="1033" ht="15" outlineLevel="2"/>
    <row r="1034" ht="15" outlineLevel="2"/>
    <row r="1035" ht="15" outlineLevel="2"/>
    <row r="1036" ht="15" outlineLevel="2"/>
    <row r="1037" ht="15" outlineLevel="2"/>
    <row r="1038" ht="15" outlineLevel="2"/>
    <row r="1039" ht="15" outlineLevel="2"/>
    <row r="1040" ht="15" outlineLevel="2"/>
    <row r="1041" ht="15" outlineLevel="2"/>
    <row r="1042" ht="15" outlineLevel="2"/>
    <row r="1043" ht="15" outlineLevel="2"/>
    <row r="1044" ht="15" outlineLevel="2"/>
    <row r="1045" ht="15" outlineLevel="2"/>
    <row r="1046" ht="15" outlineLevel="2"/>
    <row r="1047" ht="15" outlineLevel="2"/>
    <row r="1048" ht="15" outlineLevel="2"/>
    <row r="1049" ht="15" outlineLevel="2"/>
    <row r="1050" ht="15" outlineLevel="2"/>
    <row r="1051" ht="15" outlineLevel="2"/>
    <row r="1052" ht="15" outlineLevel="2"/>
    <row r="1053" ht="15" outlineLevel="2"/>
    <row r="1054" ht="15" outlineLevel="2"/>
    <row r="1055" ht="15" outlineLevel="2"/>
    <row r="1056" ht="15" outlineLevel="2"/>
    <row r="1057" ht="15" outlineLevel="2"/>
    <row r="1058" ht="15" outlineLevel="2"/>
    <row r="1059" ht="15" outlineLevel="2"/>
    <row r="1060" ht="15" outlineLevel="2"/>
    <row r="1061" ht="15" outlineLevel="2"/>
    <row r="1062" ht="15" outlineLevel="2"/>
    <row r="1063" ht="15" outlineLevel="2"/>
    <row r="1064" ht="15" outlineLevel="2"/>
    <row r="1065" ht="15" outlineLevel="2"/>
    <row r="1066" ht="15" outlineLevel="2"/>
    <row r="1067" ht="15" outlineLevel="2"/>
    <row r="1068" ht="15" outlineLevel="2"/>
    <row r="1069" ht="15" outlineLevel="2"/>
    <row r="1070" ht="15" outlineLevel="2"/>
    <row r="1071" ht="15" outlineLevel="2"/>
    <row r="1072" ht="15" outlineLevel="2"/>
    <row r="1073" ht="15" outlineLevel="2"/>
    <row r="1074" ht="15" outlineLevel="2"/>
    <row r="1075" ht="15" outlineLevel="2"/>
    <row r="1076" ht="15" outlineLevel="2"/>
    <row r="1077" ht="15" outlineLevel="2"/>
    <row r="1078" ht="15" outlineLevel="2"/>
    <row r="1079" ht="15" outlineLevel="2"/>
    <row r="1080" ht="15" outlineLevel="2"/>
    <row r="1081" ht="15" outlineLevel="2"/>
    <row r="1082" ht="15" outlineLevel="2"/>
    <row r="1083" ht="15" outlineLevel="2"/>
    <row r="1084" ht="15" outlineLevel="2"/>
    <row r="1085" ht="15" outlineLevel="2"/>
    <row r="1086" ht="15" outlineLevel="2"/>
    <row r="1087" ht="15" outlineLevel="2"/>
    <row r="1088" ht="15" outlineLevel="2"/>
    <row r="1089" ht="15" outlineLevel="2"/>
    <row r="1090" ht="15" outlineLevel="2"/>
    <row r="1091" ht="15" outlineLevel="2"/>
    <row r="1092" ht="15" outlineLevel="2"/>
    <row r="1093" ht="15" outlineLevel="2"/>
    <row r="1094" ht="15" outlineLevel="2"/>
    <row r="1095" ht="15" outlineLevel="2"/>
    <row r="1096" ht="15" outlineLevel="2"/>
    <row r="1097" ht="15" outlineLevel="2"/>
    <row r="1098" ht="15" outlineLevel="2"/>
    <row r="1099" ht="15" outlineLevel="2"/>
    <row r="1100" ht="15" outlineLevel="2"/>
    <row r="1101" ht="15" outlineLevel="2"/>
    <row r="1102" ht="15" outlineLevel="2"/>
    <row r="1103" ht="15" outlineLevel="2"/>
    <row r="1104" ht="15" outlineLevel="2"/>
    <row r="1105" ht="15" outlineLevel="2"/>
    <row r="1106" ht="15" outlineLevel="2"/>
    <row r="1107" ht="15" outlineLevel="2"/>
    <row r="1108" ht="15" outlineLevel="2"/>
    <row r="1109" ht="15" outlineLevel="2"/>
    <row r="1110" ht="15" outlineLevel="2"/>
    <row r="1111" ht="15" outlineLevel="2"/>
    <row r="1112" ht="15" outlineLevel="2"/>
    <row r="1113" ht="15" outlineLevel="2"/>
    <row r="1114" ht="15" outlineLevel="2"/>
    <row r="1115" ht="15" outlineLevel="2"/>
    <row r="1116" ht="15" outlineLevel="2"/>
    <row r="1117" ht="15" outlineLevel="2"/>
    <row r="1118" ht="15" outlineLevel="2"/>
    <row r="1119" ht="15" outlineLevel="2"/>
    <row r="1120" ht="15" outlineLevel="2"/>
    <row r="1121" ht="15" outlineLevel="2"/>
    <row r="1122" ht="15" outlineLevel="2"/>
    <row r="1123" ht="15" outlineLevel="2"/>
    <row r="1124" ht="15" outlineLevel="2"/>
    <row r="1125" ht="15" outlineLevel="2"/>
    <row r="1126" ht="15" outlineLevel="2"/>
    <row r="1127" ht="15" outlineLevel="2"/>
    <row r="1128" ht="15" outlineLevel="2"/>
    <row r="1129" ht="15" outlineLevel="2"/>
    <row r="1130" ht="15" outlineLevel="2"/>
    <row r="1131" ht="15" outlineLevel="2"/>
    <row r="1132" ht="15" outlineLevel="2"/>
    <row r="1133" ht="15" outlineLevel="2"/>
    <row r="1134" ht="15" outlineLevel="2"/>
    <row r="1135" ht="15" outlineLevel="2"/>
    <row r="1136" ht="15" outlineLevel="2"/>
    <row r="1137" ht="15" outlineLevel="2"/>
    <row r="1138" ht="15" outlineLevel="2"/>
    <row r="1139" ht="15" outlineLevel="2"/>
    <row r="1140" ht="15" outlineLevel="2"/>
    <row r="1141" ht="15" outlineLevel="2"/>
    <row r="1142" ht="15" outlineLevel="2"/>
    <row r="1143" ht="15" outlineLevel="2"/>
    <row r="1144" ht="15" outlineLevel="2"/>
    <row r="1145" ht="15" outlineLevel="2"/>
    <row r="1146" ht="15" outlineLevel="2"/>
    <row r="1147" ht="15" outlineLevel="2"/>
    <row r="1148" ht="15" outlineLevel="2"/>
    <row r="1149" ht="15" outlineLevel="2"/>
    <row r="1150" ht="15" outlineLevel="2"/>
    <row r="1151" ht="15" outlineLevel="2"/>
    <row r="1152" ht="15" outlineLevel="2"/>
    <row r="1153" ht="15" outlineLevel="2"/>
    <row r="1154" ht="15" outlineLevel="2"/>
    <row r="1155" ht="15" outlineLevel="2"/>
    <row r="1156" ht="15" outlineLevel="2"/>
    <row r="1157" ht="15" outlineLevel="2"/>
    <row r="1158" ht="15" outlineLevel="2"/>
    <row r="1159" ht="15" outlineLevel="2"/>
    <row r="1160" ht="15" outlineLevel="2"/>
    <row r="1161" ht="15" outlineLevel="2"/>
    <row r="1162" ht="15" outlineLevel="2"/>
    <row r="1163" ht="15" outlineLevel="2"/>
    <row r="1164" ht="15" outlineLevel="2"/>
    <row r="1165" ht="15" outlineLevel="2"/>
    <row r="1166" ht="15" outlineLevel="2"/>
    <row r="1167" ht="15" outlineLevel="2"/>
    <row r="1168" ht="15" outlineLevel="2"/>
    <row r="1169" ht="15" outlineLevel="2"/>
    <row r="1170" ht="15" outlineLevel="2"/>
    <row r="1171" ht="15" outlineLevel="2"/>
    <row r="1172" ht="15" outlineLevel="2"/>
    <row r="1173" ht="15" outlineLevel="2"/>
    <row r="1174" ht="15" outlineLevel="2"/>
    <row r="1175" ht="15" outlineLevel="2"/>
    <row r="1176" ht="15" outlineLevel="2"/>
    <row r="1177" ht="15" outlineLevel="2"/>
    <row r="1178" ht="15" outlineLevel="2"/>
    <row r="1179" ht="15" outlineLevel="2"/>
    <row r="1180" ht="15" outlineLevel="2"/>
    <row r="1181" ht="15" outlineLevel="2"/>
    <row r="1182" ht="15" outlineLevel="2"/>
    <row r="1183" ht="15" outlineLevel="2"/>
    <row r="1184" ht="15" outlineLevel="2"/>
    <row r="1185" ht="15" outlineLevel="2"/>
    <row r="1186" ht="15" outlineLevel="2"/>
    <row r="1187" ht="15" outlineLevel="2"/>
    <row r="1188" ht="15" outlineLevel="2"/>
    <row r="1189" ht="15" outlineLevel="2"/>
    <row r="1190" ht="15" outlineLevel="2"/>
    <row r="1191" ht="15" outlineLevel="2"/>
    <row r="1192" ht="15" outlineLevel="2"/>
    <row r="1193" ht="15" outlineLevel="2"/>
    <row r="1194" ht="15" outlineLevel="2"/>
    <row r="1195" ht="15" outlineLevel="2"/>
    <row r="1196" ht="15" outlineLevel="2"/>
    <row r="1197" ht="15" outlineLevel="2"/>
    <row r="1198" ht="15" outlineLevel="2"/>
    <row r="1199" ht="15" outlineLevel="2"/>
    <row r="1200" ht="15" outlineLevel="2"/>
    <row r="1201" ht="15" outlineLevel="2"/>
    <row r="1202" ht="15" outlineLevel="2"/>
    <row r="1203" ht="15" outlineLevel="2"/>
    <row r="1204" ht="15" outlineLevel="2"/>
    <row r="1205" ht="15" outlineLevel="2"/>
    <row r="1206" ht="15" outlineLevel="2"/>
    <row r="1207" ht="15" outlineLevel="2"/>
    <row r="1208" ht="15" outlineLevel="2"/>
    <row r="1209" ht="15" outlineLevel="2"/>
    <row r="1210" ht="15" outlineLevel="2"/>
    <row r="1211" ht="15" outlineLevel="2"/>
    <row r="1212" ht="15" outlineLevel="2"/>
    <row r="1213" ht="15" outlineLevel="2"/>
    <row r="1214" ht="15" outlineLevel="2"/>
    <row r="1215" ht="15" outlineLevel="2"/>
    <row r="1216" ht="15" outlineLevel="2"/>
    <row r="1217" ht="15" outlineLevel="2"/>
    <row r="1218" ht="15" outlineLevel="2"/>
    <row r="1219" ht="15" outlineLevel="2"/>
    <row r="1220" ht="15" outlineLevel="2"/>
    <row r="1221" ht="15" outlineLevel="2"/>
    <row r="1222" ht="15" outlineLevel="2"/>
    <row r="1223" ht="15" outlineLevel="2"/>
    <row r="1224" ht="15" outlineLevel="2"/>
    <row r="1225" ht="15" outlineLevel="2"/>
    <row r="1226" ht="15" outlineLevel="2"/>
    <row r="1227" ht="15" outlineLevel="2"/>
    <row r="1228" ht="15" outlineLevel="2"/>
    <row r="1229" ht="15" outlineLevel="2"/>
    <row r="1230" ht="15" outlineLevel="2"/>
    <row r="1231" ht="15" outlineLevel="2"/>
    <row r="1232" ht="15" outlineLevel="2"/>
    <row r="1233" ht="15" outlineLevel="2"/>
    <row r="1234" ht="15" outlineLevel="2"/>
    <row r="1235" ht="15" outlineLevel="2"/>
    <row r="1236" ht="15" outlineLevel="2"/>
    <row r="1237" ht="15" outlineLevel="2"/>
    <row r="1238" ht="15" outlineLevel="2"/>
    <row r="1239" ht="15" outlineLevel="2"/>
    <row r="1240" ht="15" outlineLevel="2"/>
    <row r="1241" ht="15" outlineLevel="2"/>
    <row r="1242" ht="15" outlineLevel="2"/>
    <row r="1243" ht="15" outlineLevel="2"/>
    <row r="1244" ht="15" outlineLevel="2"/>
    <row r="1245" ht="15" outlineLevel="2"/>
    <row r="1246" ht="15" outlineLevel="2"/>
    <row r="1247" ht="15" outlineLevel="2"/>
    <row r="1248" ht="15" outlineLevel="2"/>
    <row r="1249" ht="15" outlineLevel="2"/>
    <row r="1250" ht="15" outlineLevel="2"/>
    <row r="1251" ht="15" outlineLevel="2"/>
    <row r="1252" ht="15" outlineLevel="2"/>
    <row r="1253" ht="15" outlineLevel="2"/>
    <row r="1254" ht="15" outlineLevel="2"/>
    <row r="1255" ht="15" outlineLevel="2"/>
    <row r="1256" ht="15" outlineLevel="2"/>
    <row r="1257" ht="15" outlineLevel="2"/>
    <row r="1258" ht="15" outlineLevel="2"/>
    <row r="1259" ht="15" outlineLevel="2"/>
    <row r="1260" ht="15" outlineLevel="2"/>
    <row r="1261" ht="15" outlineLevel="2"/>
    <row r="1262" ht="15" outlineLevel="2"/>
    <row r="1263" ht="15" outlineLevel="2"/>
    <row r="1264" ht="15" outlineLevel="2"/>
    <row r="1265" ht="15" outlineLevel="2"/>
    <row r="1266" ht="15" outlineLevel="2"/>
    <row r="1267" ht="15" outlineLevel="2"/>
    <row r="1268" ht="15" outlineLevel="2"/>
    <row r="1269" ht="15" outlineLevel="2"/>
    <row r="1270" ht="15" outlineLevel="2"/>
    <row r="1271" ht="15" outlineLevel="2"/>
    <row r="1272" ht="15" outlineLevel="2"/>
    <row r="1273" ht="15" outlineLevel="2"/>
    <row r="1274" ht="15" outlineLevel="2"/>
    <row r="1275" ht="15" outlineLevel="2"/>
    <row r="1276" ht="15" outlineLevel="2"/>
    <row r="1277" ht="15" outlineLevel="2"/>
    <row r="1278" ht="15" outlineLevel="2"/>
    <row r="1279" ht="15" outlineLevel="2"/>
    <row r="1280" ht="15" outlineLevel="2"/>
    <row r="1281" ht="15" outlineLevel="2"/>
    <row r="1282" ht="15" outlineLevel="2"/>
    <row r="1283" ht="15" outlineLevel="2"/>
    <row r="1284" ht="15" outlineLevel="2"/>
    <row r="1285" ht="15" outlineLevel="2"/>
    <row r="1286" ht="15" outlineLevel="2"/>
    <row r="1287" ht="15" outlineLevel="2"/>
    <row r="1288" ht="15" outlineLevel="2"/>
    <row r="1289" ht="15" outlineLevel="2"/>
    <row r="1290" ht="15" outlineLevel="2"/>
    <row r="1291" ht="15" outlineLevel="2"/>
    <row r="1292" ht="15" outlineLevel="2"/>
    <row r="1293" ht="15" outlineLevel="2"/>
    <row r="1294" ht="15" outlineLevel="2"/>
    <row r="1295" ht="15" outlineLevel="2"/>
    <row r="1296" ht="15" outlineLevel="2"/>
    <row r="1297" ht="15" outlineLevel="2"/>
    <row r="1298" ht="15" outlineLevel="2"/>
    <row r="1299" ht="15" outlineLevel="2"/>
    <row r="1300" ht="15" outlineLevel="2"/>
    <row r="1301" ht="15" outlineLevel="2"/>
    <row r="1302" ht="15" outlineLevel="2"/>
    <row r="1303" ht="15" outlineLevel="2"/>
    <row r="1304" ht="15" outlineLevel="2"/>
    <row r="1305" ht="15" outlineLevel="2"/>
    <row r="1306" ht="15" outlineLevel="2"/>
    <row r="1307" ht="15" outlineLevel="2"/>
    <row r="1308" ht="15" outlineLevel="2"/>
    <row r="1309" ht="15" outlineLevel="2"/>
    <row r="1310" ht="15" outlineLevel="2"/>
    <row r="1311" ht="15" outlineLevel="2"/>
    <row r="1312" ht="15" outlineLevel="2"/>
    <row r="1313" ht="15" outlineLevel="2"/>
    <row r="1314" ht="15" outlineLevel="2"/>
    <row r="1315" ht="15" outlineLevel="2"/>
    <row r="1316" ht="15" outlineLevel="2"/>
    <row r="1317" ht="15" outlineLevel="2"/>
    <row r="1318" ht="15" outlineLevel="2"/>
    <row r="1319" ht="15" outlineLevel="2"/>
    <row r="1320" ht="15" outlineLevel="2"/>
    <row r="1321" ht="15" outlineLevel="2"/>
    <row r="1322" ht="15" outlineLevel="2"/>
    <row r="1323" ht="15" outlineLevel="2"/>
    <row r="1324" ht="15" outlineLevel="2"/>
    <row r="1325" ht="15" outlineLevel="2"/>
    <row r="1326" ht="15" outlineLevel="2"/>
    <row r="1327" ht="15" outlineLevel="2"/>
    <row r="1328" ht="15" outlineLevel="2"/>
    <row r="1329" ht="15" outlineLevel="2"/>
    <row r="1330" ht="15" outlineLevel="2"/>
    <row r="1331" ht="15" outlineLevel="2"/>
    <row r="1332" ht="15" outlineLevel="2"/>
    <row r="1333" ht="15" outlineLevel="2"/>
    <row r="1334" ht="15" outlineLevel="2"/>
    <row r="1335" ht="15" outlineLevel="2"/>
    <row r="1336" ht="15" outlineLevel="2"/>
    <row r="1337" ht="15" outlineLevel="2"/>
    <row r="1338" ht="15" outlineLevel="2"/>
    <row r="1339" ht="15" outlineLevel="2"/>
    <row r="1340" ht="15" outlineLevel="2"/>
    <row r="1341" ht="15" outlineLevel="2"/>
    <row r="1342" ht="15" outlineLevel="2"/>
    <row r="1343" ht="15" outlineLevel="2"/>
    <row r="1344" ht="15" outlineLevel="2"/>
    <row r="1345" ht="15" outlineLevel="2"/>
    <row r="1346" ht="15" outlineLevel="2"/>
    <row r="1347" ht="15" outlineLevel="2"/>
    <row r="1348" ht="15" outlineLevel="2"/>
    <row r="1349" ht="15" outlineLevel="2"/>
    <row r="1350" ht="15" outlineLevel="2"/>
    <row r="1351" ht="15" outlineLevel="2"/>
    <row r="1352" ht="15" outlineLevel="2"/>
    <row r="1353" ht="15" outlineLevel="2"/>
    <row r="1354" ht="15" outlineLevel="2"/>
    <row r="1355" ht="15" outlineLevel="2"/>
    <row r="1356" ht="15" outlineLevel="2"/>
    <row r="1357" ht="15" outlineLevel="2"/>
    <row r="1358" ht="15" outlineLevel="2"/>
    <row r="1359" ht="15" outlineLevel="2"/>
    <row r="1360" ht="15" outlineLevel="2"/>
    <row r="1361" ht="15" outlineLevel="2"/>
    <row r="1362" ht="15" outlineLevel="2"/>
    <row r="1363" ht="15" outlineLevel="2"/>
    <row r="1364" ht="15" outlineLevel="2"/>
    <row r="1365" ht="15" outlineLevel="2"/>
    <row r="1366" ht="15" outlineLevel="2"/>
    <row r="1367" ht="15" outlineLevel="2"/>
    <row r="1368" ht="15" outlineLevel="2"/>
    <row r="1369" ht="15" outlineLevel="2"/>
    <row r="1370" ht="15" outlineLevel="2"/>
    <row r="1371" ht="15" outlineLevel="2"/>
    <row r="1372" ht="15" outlineLevel="2"/>
    <row r="1373" ht="15" outlineLevel="2"/>
    <row r="1374" ht="15" outlineLevel="2"/>
    <row r="1375" ht="15" outlineLevel="2"/>
    <row r="1376" ht="15" outlineLevel="2"/>
    <row r="1377" ht="15" outlineLevel="2"/>
    <row r="1378" ht="15" outlineLevel="2"/>
    <row r="1379" ht="15" outlineLevel="2"/>
    <row r="1380" ht="15" outlineLevel="2"/>
    <row r="1381" ht="15" outlineLevel="2"/>
    <row r="1382" ht="15" outlineLevel="2"/>
    <row r="1383" ht="15" outlineLevel="2"/>
    <row r="1384" ht="15" outlineLevel="2"/>
    <row r="1385" ht="15" outlineLevel="2"/>
    <row r="1386" ht="15" outlineLevel="2"/>
    <row r="1387" ht="15" outlineLevel="2"/>
    <row r="1388" ht="15" outlineLevel="2"/>
    <row r="1389" ht="15" outlineLevel="2"/>
    <row r="1390" ht="15" outlineLevel="2"/>
    <row r="1391" ht="15" outlineLevel="2"/>
    <row r="1392" ht="15" outlineLevel="2"/>
    <row r="1393" ht="15" outlineLevel="2"/>
    <row r="1394" spans="1:21" s="5" customFormat="1" ht="15.75" outlineLevel="1">
      <c r="A1394" s="64" t="s">
        <v>978</v>
      </c>
      <c r="B1394" s="45"/>
      <c r="C1394" s="45"/>
      <c r="D1394" s="61"/>
      <c r="E1394" s="52"/>
      <c r="F1394" s="51"/>
      <c r="G1394" s="45"/>
      <c r="H1394" s="137">
        <f aca="true" t="shared" si="25" ref="H1394:U1394">SUBTOTAL(9,H89:H1393)</f>
        <v>0</v>
      </c>
      <c r="I1394" s="167">
        <f t="shared" si="25"/>
        <v>0</v>
      </c>
      <c r="J1394" s="137">
        <f t="shared" si="25"/>
        <v>0</v>
      </c>
      <c r="K1394" s="137">
        <f t="shared" si="25"/>
        <v>0</v>
      </c>
      <c r="L1394" s="141">
        <f t="shared" si="25"/>
        <v>1</v>
      </c>
      <c r="M1394" s="141">
        <f t="shared" si="25"/>
        <v>1</v>
      </c>
      <c r="N1394" s="137">
        <f t="shared" si="25"/>
        <v>3135</v>
      </c>
      <c r="O1394" s="65">
        <f t="shared" si="25"/>
        <v>0.25</v>
      </c>
      <c r="P1394" s="137">
        <f t="shared" si="25"/>
        <v>18</v>
      </c>
      <c r="Q1394" s="167">
        <f t="shared" si="25"/>
        <v>0</v>
      </c>
      <c r="R1394" s="137">
        <f t="shared" si="25"/>
        <v>0</v>
      </c>
      <c r="S1394" s="137">
        <f t="shared" si="25"/>
        <v>0</v>
      </c>
      <c r="T1394" s="137">
        <f t="shared" si="25"/>
        <v>0</v>
      </c>
      <c r="U1394" s="137">
        <f t="shared" si="25"/>
        <v>3153</v>
      </c>
    </row>
    <row r="1395" spans="1:21" s="5" customFormat="1" ht="15.75" outlineLevel="1" collapsed="1">
      <c r="A1395" s="64" t="s">
        <v>633</v>
      </c>
      <c r="B1395" s="45"/>
      <c r="C1395" s="45"/>
      <c r="D1395" s="61"/>
      <c r="E1395" s="52"/>
      <c r="F1395" s="51"/>
      <c r="G1395" s="45"/>
      <c r="H1395" s="137">
        <f aca="true" t="shared" si="26" ref="H1395:U1395">SUBTOTAL(9,H4:H1393)</f>
        <v>29374.316454</v>
      </c>
      <c r="I1395" s="167">
        <f t="shared" si="26"/>
        <v>65623</v>
      </c>
      <c r="J1395" s="137">
        <f t="shared" si="26"/>
        <v>6087.339999999999</v>
      </c>
      <c r="K1395" s="137">
        <f t="shared" si="26"/>
        <v>1665</v>
      </c>
      <c r="L1395" s="141">
        <f t="shared" si="26"/>
        <v>19</v>
      </c>
      <c r="M1395" s="141">
        <f t="shared" si="26"/>
        <v>8.0429</v>
      </c>
      <c r="N1395" s="137">
        <f t="shared" si="26"/>
        <v>47293.983</v>
      </c>
      <c r="O1395" s="65">
        <f t="shared" si="26"/>
        <v>17.75</v>
      </c>
      <c r="P1395" s="137">
        <f t="shared" si="26"/>
        <v>1278</v>
      </c>
      <c r="Q1395" s="167">
        <f t="shared" si="26"/>
        <v>0</v>
      </c>
      <c r="R1395" s="137">
        <f t="shared" si="26"/>
        <v>0</v>
      </c>
      <c r="S1395" s="137">
        <f t="shared" si="26"/>
        <v>0</v>
      </c>
      <c r="T1395" s="137">
        <f t="shared" si="26"/>
        <v>75.53999999999999</v>
      </c>
      <c r="U1395" s="137">
        <f t="shared" si="26"/>
        <v>85774.179454</v>
      </c>
    </row>
  </sheetData>
  <autoFilter ref="A3:U90"/>
  <printOptions/>
  <pageMargins left="0.25" right="0.25" top="0.25" bottom="0.25" header="0.5" footer="0.5"/>
  <pageSetup fitToHeight="1" fitToWidth="1" horizontalDpi="600" verticalDpi="600" orientation="landscape" paperSize="5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newimage</cp:lastModifiedBy>
  <cp:lastPrinted>2009-01-06T22:50:31Z</cp:lastPrinted>
  <dcterms:created xsi:type="dcterms:W3CDTF">2008-12-19T15:29:59Z</dcterms:created>
  <dcterms:modified xsi:type="dcterms:W3CDTF">2010-11-16T21:39:54Z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-607863612</vt:i4>
  </property>
  <property fmtid="{D5CDD505-2E9C-101B-9397-08002B2CF9AE}" pid="3" name="_EmailSubject">
    <vt:lpwstr>Internal Service Rates - FREDS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ReviewingToolsShownOnce">
    <vt:lpwstr/>
  </property>
</Properties>
</file>