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3\dcm\DCA Director\Budget\FY 2023\Rate Setting\FY23 Published ISR\"/>
    </mc:Choice>
  </mc:AlternateContent>
  <bookViews>
    <workbookView xWindow="0" yWindow="0" windowWidth="19200" windowHeight="10860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3A2___EBS_Billing_IGA">[1]_3A2___EBS_Billing_IGA!#REF!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rder1" hidden="1">255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hidden="1">[2]DOH!#REF!</definedName>
    <definedName name="Budget">#REF!</definedName>
    <definedName name="CCGroup">#REF!</definedName>
    <definedName name="CE">[3]Sheet2!$A$1:$A$2</definedName>
    <definedName name="Circuit">#REF!</definedName>
    <definedName name="Codes">#REF!</definedName>
    <definedName name="Cost_Center">'[4]Drop Down Lists'!$A$1:$A$19</definedName>
    <definedName name="Cost_Centers">#REF!</definedName>
    <definedName name="CostCenter">'[5]Look Ups &amp; Drop Downs'!$D$1:$D$20</definedName>
    <definedName name="Costcenters">'[6]IT Cost Centers'!$A$1:$L$135</definedName>
    <definedName name="CYE">#REF!</definedName>
    <definedName name="DATA1">#REF!</definedName>
    <definedName name="DATA10">[7]Interest.50270!#REF!</definedName>
    <definedName name="DATA11">'[8]SAP download'!#REF!</definedName>
    <definedName name="DATA12">'[9]WBS Recon'!#REF!</definedName>
    <definedName name="DATA13">'[9]WBS Recon'!#REF!</definedName>
    <definedName name="DATA14">'[9]WBS Recon'!#REF!</definedName>
    <definedName name="DATA15">'[9]WBS Recon'!#REF!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[7]Interest.50270!#REF!</definedName>
    <definedName name="DATA8">[7]Interest.50270!#REF!</definedName>
    <definedName name="DATA9">'[8]SAP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JCN">'[5]Look Ups &amp; Drop Downs'!$G$1:$G$61</definedName>
    <definedName name="JCN_List">'[4]Drop Down Lists'!$D$1:$D$340</definedName>
    <definedName name="list">#REF!</definedName>
    <definedName name="MCSO1" hidden="1">[10]DOH!#REF!</definedName>
    <definedName name="MCSO2" hidden="1">[11]DOH!#REF!</definedName>
    <definedName name="P1_">#REF!</definedName>
    <definedName name="P2_">#REF!</definedName>
    <definedName name="PARK">'[12]119'!#REF!</definedName>
    <definedName name="park1">'[12]119'!#REF!</definedName>
    <definedName name="PDX">#REF!</definedName>
    <definedName name="Position_Numbers">'[4]Drop Down Lists'!$G$1:$G$101</definedName>
    <definedName name="PosNum">'[5]Look Ups &amp; Drop Downs'!$J$1:$J$110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'[13]SAP DATA (PIVOT TABLE)'!$A$1:$L$500</definedName>
    <definedName name="Steps">'[14]10 Wage'!$A$1:$M$406</definedName>
    <definedName name="Temp709175">#REF!</definedName>
    <definedName name="Temp709616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[15]Sheet1!$A$1:$A$4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36" i="1" l="1"/>
  <c r="M36" i="1"/>
  <c r="N36" i="1"/>
  <c r="O36" i="1"/>
  <c r="L32" i="1"/>
  <c r="L45" i="1" s="1"/>
  <c r="M32" i="1"/>
  <c r="N32" i="1"/>
  <c r="O32" i="1"/>
  <c r="L49" i="1"/>
  <c r="P23" i="1"/>
  <c r="P22" i="1"/>
  <c r="P21" i="1"/>
  <c r="P20" i="1"/>
  <c r="P19" i="1"/>
  <c r="O24" i="1"/>
  <c r="N24" i="1"/>
  <c r="M24" i="1"/>
  <c r="P18" i="1"/>
  <c r="L17" i="1"/>
  <c r="L30" i="1" s="1"/>
  <c r="L43" i="1" s="1"/>
  <c r="K17" i="1"/>
  <c r="J17" i="1"/>
  <c r="I17" i="1"/>
  <c r="I30" i="1" s="1"/>
  <c r="I43" i="1" s="1"/>
  <c r="H17" i="1"/>
  <c r="H30" i="1" s="1"/>
  <c r="H43" i="1" s="1"/>
  <c r="G17" i="1"/>
  <c r="G30" i="1" s="1"/>
  <c r="G43" i="1" s="1"/>
  <c r="F17" i="1"/>
  <c r="E17" i="1"/>
  <c r="D17" i="1"/>
  <c r="D30" i="1" s="1"/>
  <c r="D43" i="1" s="1"/>
  <c r="C17" i="1"/>
  <c r="B17" i="1"/>
  <c r="L16" i="1"/>
  <c r="L24" i="1" s="1"/>
  <c r="K16" i="1"/>
  <c r="K24" i="1" s="1"/>
  <c r="J16" i="1"/>
  <c r="J29" i="1" s="1"/>
  <c r="I16" i="1"/>
  <c r="H16" i="1"/>
  <c r="G16" i="1"/>
  <c r="F16" i="1"/>
  <c r="E16" i="1"/>
  <c r="E24" i="1" s="1"/>
  <c r="D16" i="1"/>
  <c r="D24" i="1" s="1"/>
  <c r="C16" i="1"/>
  <c r="C24" i="1" s="1"/>
  <c r="B16" i="1"/>
  <c r="K36" i="1"/>
  <c r="K49" i="1" s="1"/>
  <c r="J36" i="1"/>
  <c r="J49" i="1" s="1"/>
  <c r="I36" i="1"/>
  <c r="I49" i="1" s="1"/>
  <c r="H36" i="1"/>
  <c r="H49" i="1" s="1"/>
  <c r="G36" i="1"/>
  <c r="G49" i="1" s="1"/>
  <c r="F36" i="1"/>
  <c r="F49" i="1" s="1"/>
  <c r="E36" i="1"/>
  <c r="E49" i="1" s="1"/>
  <c r="D36" i="1"/>
  <c r="D49" i="1" s="1"/>
  <c r="C36" i="1"/>
  <c r="C49" i="1" s="1"/>
  <c r="B36" i="1"/>
  <c r="O35" i="1"/>
  <c r="N35" i="1"/>
  <c r="M35" i="1"/>
  <c r="K35" i="1"/>
  <c r="K48" i="1" s="1"/>
  <c r="J35" i="1"/>
  <c r="J48" i="1" s="1"/>
  <c r="I35" i="1"/>
  <c r="I48" i="1" s="1"/>
  <c r="H35" i="1"/>
  <c r="H48" i="1" s="1"/>
  <c r="G35" i="1"/>
  <c r="G48" i="1" s="1"/>
  <c r="F35" i="1"/>
  <c r="F48" i="1" s="1"/>
  <c r="E35" i="1"/>
  <c r="E48" i="1" s="1"/>
  <c r="D35" i="1"/>
  <c r="D48" i="1" s="1"/>
  <c r="C35" i="1"/>
  <c r="C48" i="1" s="1"/>
  <c r="B35" i="1"/>
  <c r="O34" i="1"/>
  <c r="N34" i="1"/>
  <c r="M34" i="1"/>
  <c r="L34" i="1"/>
  <c r="K34" i="1"/>
  <c r="K47" i="1" s="1"/>
  <c r="J34" i="1"/>
  <c r="J47" i="1" s="1"/>
  <c r="I34" i="1"/>
  <c r="I47" i="1" s="1"/>
  <c r="H34" i="1"/>
  <c r="H47" i="1" s="1"/>
  <c r="G34" i="1"/>
  <c r="G47" i="1" s="1"/>
  <c r="F34" i="1"/>
  <c r="F47" i="1" s="1"/>
  <c r="E34" i="1"/>
  <c r="E47" i="1" s="1"/>
  <c r="D34" i="1"/>
  <c r="D47" i="1" s="1"/>
  <c r="C34" i="1"/>
  <c r="C47" i="1" s="1"/>
  <c r="B34" i="1"/>
  <c r="O33" i="1"/>
  <c r="N33" i="1"/>
  <c r="N46" i="1" s="1"/>
  <c r="M33" i="1"/>
  <c r="L33" i="1"/>
  <c r="L46" i="1" s="1"/>
  <c r="K33" i="1"/>
  <c r="K46" i="1" s="1"/>
  <c r="J33" i="1"/>
  <c r="J46" i="1" s="1"/>
  <c r="I33" i="1"/>
  <c r="I46" i="1" s="1"/>
  <c r="H33" i="1"/>
  <c r="H46" i="1" s="1"/>
  <c r="G33" i="1"/>
  <c r="G46" i="1" s="1"/>
  <c r="F33" i="1"/>
  <c r="F46" i="1" s="1"/>
  <c r="E33" i="1"/>
  <c r="E46" i="1" s="1"/>
  <c r="D33" i="1"/>
  <c r="D46" i="1" s="1"/>
  <c r="C33" i="1"/>
  <c r="C46" i="1" s="1"/>
  <c r="B33" i="1"/>
  <c r="K32" i="1"/>
  <c r="K45" i="1" s="1"/>
  <c r="J32" i="1"/>
  <c r="J45" i="1" s="1"/>
  <c r="I32" i="1"/>
  <c r="I45" i="1" s="1"/>
  <c r="H32" i="1"/>
  <c r="H45" i="1" s="1"/>
  <c r="G32" i="1"/>
  <c r="G45" i="1" s="1"/>
  <c r="F32" i="1"/>
  <c r="F45" i="1" s="1"/>
  <c r="E32" i="1"/>
  <c r="E45" i="1" s="1"/>
  <c r="D32" i="1"/>
  <c r="D45" i="1" s="1"/>
  <c r="C32" i="1"/>
  <c r="C45" i="1" s="1"/>
  <c r="B32" i="1"/>
  <c r="O31" i="1"/>
  <c r="N31" i="1"/>
  <c r="M31" i="1"/>
  <c r="L31" i="1"/>
  <c r="K31" i="1"/>
  <c r="K44" i="1" s="1"/>
  <c r="J31" i="1"/>
  <c r="J44" i="1" s="1"/>
  <c r="I31" i="1"/>
  <c r="I44" i="1" s="1"/>
  <c r="P5" i="1"/>
  <c r="G31" i="1"/>
  <c r="G44" i="1" s="1"/>
  <c r="F31" i="1"/>
  <c r="F44" i="1" s="1"/>
  <c r="E31" i="1"/>
  <c r="E44" i="1" s="1"/>
  <c r="D31" i="1"/>
  <c r="D44" i="1" s="1"/>
  <c r="C31" i="1"/>
  <c r="C44" i="1" s="1"/>
  <c r="B31" i="1"/>
  <c r="O30" i="1"/>
  <c r="N30" i="1"/>
  <c r="M30" i="1"/>
  <c r="M43" i="1" s="1"/>
  <c r="K30" i="1"/>
  <c r="K43" i="1" s="1"/>
  <c r="J30" i="1"/>
  <c r="J43" i="1" s="1"/>
  <c r="F30" i="1"/>
  <c r="F43" i="1" s="1"/>
  <c r="E30" i="1"/>
  <c r="E43" i="1" s="1"/>
  <c r="C30" i="1"/>
  <c r="C43" i="1" s="1"/>
  <c r="B30" i="1"/>
  <c r="O29" i="1"/>
  <c r="O42" i="1" s="1"/>
  <c r="N11" i="1"/>
  <c r="M29" i="1"/>
  <c r="I11" i="1"/>
  <c r="H11" i="1"/>
  <c r="G29" i="1"/>
  <c r="F29" i="1"/>
  <c r="E29" i="1"/>
  <c r="P3" i="1"/>
  <c r="F24" i="1" l="1"/>
  <c r="P17" i="1"/>
  <c r="L29" i="1"/>
  <c r="G24" i="1"/>
  <c r="C29" i="1"/>
  <c r="H24" i="1"/>
  <c r="K29" i="1"/>
  <c r="K42" i="1" s="1"/>
  <c r="I24" i="1"/>
  <c r="D29" i="1"/>
  <c r="D37" i="1" s="1"/>
  <c r="D50" i="1" s="1"/>
  <c r="B24" i="1"/>
  <c r="J24" i="1"/>
  <c r="B46" i="1"/>
  <c r="P33" i="1"/>
  <c r="P46" i="1" s="1"/>
  <c r="B49" i="1"/>
  <c r="P36" i="1"/>
  <c r="P49" i="1" s="1"/>
  <c r="B45" i="1"/>
  <c r="P32" i="1"/>
  <c r="P45" i="1" s="1"/>
  <c r="F37" i="1"/>
  <c r="F50" i="1" s="1"/>
  <c r="F42" i="1"/>
  <c r="B44" i="1"/>
  <c r="B48" i="1"/>
  <c r="C37" i="1"/>
  <c r="C50" i="1" s="1"/>
  <c r="C42" i="1"/>
  <c r="L42" i="1"/>
  <c r="E37" i="1"/>
  <c r="E50" i="1" s="1"/>
  <c r="E42" i="1"/>
  <c r="M37" i="1"/>
  <c r="M50" i="1" s="1"/>
  <c r="G37" i="1"/>
  <c r="G50" i="1" s="1"/>
  <c r="G42" i="1"/>
  <c r="O37" i="1"/>
  <c r="O50" i="1" s="1"/>
  <c r="J37" i="1"/>
  <c r="J50" i="1" s="1"/>
  <c r="J42" i="1"/>
  <c r="P30" i="1"/>
  <c r="P43" i="1" s="1"/>
  <c r="B43" i="1"/>
  <c r="P34" i="1"/>
  <c r="P47" i="1" s="1"/>
  <c r="B47" i="1"/>
  <c r="G11" i="1"/>
  <c r="O11" i="1"/>
  <c r="B11" i="1"/>
  <c r="J11" i="1"/>
  <c r="H29" i="1"/>
  <c r="P8" i="1"/>
  <c r="C11" i="1"/>
  <c r="K11" i="1"/>
  <c r="I29" i="1"/>
  <c r="F11" i="1"/>
  <c r="P16" i="1"/>
  <c r="P24" i="1" s="1"/>
  <c r="P4" i="1"/>
  <c r="P7" i="1"/>
  <c r="D11" i="1"/>
  <c r="B29" i="1"/>
  <c r="P6" i="1"/>
  <c r="E11" i="1"/>
  <c r="M11" i="1"/>
  <c r="N29" i="1"/>
  <c r="H31" i="1"/>
  <c r="H44" i="1" s="1"/>
  <c r="P10" i="1"/>
  <c r="K37" i="1" l="1"/>
  <c r="K50" i="1" s="1"/>
  <c r="D42" i="1"/>
  <c r="I37" i="1"/>
  <c r="I50" i="1" s="1"/>
  <c r="I42" i="1"/>
  <c r="P31" i="1"/>
  <c r="P44" i="1" s="1"/>
  <c r="B37" i="1"/>
  <c r="B50" i="1" s="1"/>
  <c r="B42" i="1"/>
  <c r="P29" i="1"/>
  <c r="N37" i="1"/>
  <c r="N50" i="1" s="1"/>
  <c r="H42" i="1"/>
  <c r="H37" i="1"/>
  <c r="H50" i="1" s="1"/>
  <c r="P42" i="1" l="1"/>
  <c r="L35" i="1" l="1"/>
  <c r="L11" i="1"/>
  <c r="P9" i="1"/>
  <c r="P11" i="1" s="1"/>
  <c r="L48" i="1" l="1"/>
  <c r="L37" i="1"/>
  <c r="L50" i="1" s="1"/>
  <c r="P35" i="1"/>
  <c r="P48" i="1" l="1"/>
  <c r="P37" i="1"/>
  <c r="P50" i="1" s="1"/>
</calcChain>
</file>

<file path=xl/sharedStrings.xml><?xml version="1.0" encoding="utf-8"?>
<sst xmlns="http://schemas.openxmlformats.org/spreadsheetml/2006/main" count="105" uniqueCount="31">
  <si>
    <t>DA</t>
  </si>
  <si>
    <t>DCA</t>
  </si>
  <si>
    <t>DCHS</t>
  </si>
  <si>
    <t>DCJ</t>
  </si>
  <si>
    <t>DCM</t>
  </si>
  <si>
    <t>DCS</t>
  </si>
  <si>
    <t>HD</t>
  </si>
  <si>
    <t>LIB</t>
  </si>
  <si>
    <t>MCSO</t>
  </si>
  <si>
    <t>NOND</t>
  </si>
  <si>
    <t>JOHS</t>
  </si>
  <si>
    <t>DSS-J</t>
  </si>
  <si>
    <t>DBCS-Mid County Service District</t>
  </si>
  <si>
    <t>External</t>
  </si>
  <si>
    <t>Total</t>
  </si>
  <si>
    <t>60370 - Intl Svc Tele</t>
  </si>
  <si>
    <t>60380 - Intl Svc Data Processing</t>
  </si>
  <si>
    <t>60411 - Intl Svc Fleet Services</t>
  </si>
  <si>
    <t>60412 - Intl Svc Motor Pool</t>
  </si>
  <si>
    <t>60430 - Intl Svc Bldg Mgt</t>
  </si>
  <si>
    <t>60432 - Intl Srv Enhanced Bldg Srv</t>
  </si>
  <si>
    <t>60461 - Intl Svc Distribution</t>
  </si>
  <si>
    <t>60462 - Intl Svc Records</t>
  </si>
  <si>
    <t>FY 2022 Adopted DCA Internal Service Charges</t>
  </si>
  <si>
    <t>FY 2022 Adopted Internal Service Charges by General Ledger Account</t>
  </si>
  <si>
    <t>FY 2023 YoY FY 2022 Adopted Internal Service Charges by General Ledger Account</t>
  </si>
  <si>
    <t>FY 2023 Published DCA Internal Service Charges</t>
  </si>
  <si>
    <t>FY 2023 Published Internal Service Charges by General Ledger Account</t>
  </si>
  <si>
    <t>FY 2023 Published YoY FY 2022 Adopted DCA Internal Service Charges</t>
  </si>
  <si>
    <t>*60462 - Intl Svc Records</t>
  </si>
  <si>
    <t>*Note:  The District Attorney’s Office Internal Service Rates received a one-time reduction of $100K due to the significant increase to the department due to the shift of services during the pandemic.  Records will use Beginning Working Capital to subsidize this one-time reduction.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</si>
</sst>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FFF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rgb="FFFFFF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double">
        <color indexed="64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5" fillId="2" borderId="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6" fontId="6" fillId="0" borderId="4" xfId="0" applyNumberFormat="1" applyFont="1" applyBorder="1" applyAlignment="1">
      <alignment horizontal="right" wrapText="1"/>
    </xf>
    <xf numFmtId="6" fontId="6" fillId="0" borderId="6" xfId="0" applyNumberFormat="1" applyFont="1" applyBorder="1" applyAlignment="1">
      <alignment horizontal="right" wrapText="1"/>
    </xf>
    <xf numFmtId="166" fontId="6" fillId="0" borderId="4" xfId="3" applyNumberFormat="1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164" fontId="6" fillId="0" borderId="4" xfId="2" applyNumberFormat="1" applyFont="1" applyBorder="1" applyAlignment="1">
      <alignment wrapText="1"/>
    </xf>
    <xf numFmtId="6" fontId="6" fillId="0" borderId="4" xfId="0" applyNumberFormat="1" applyFont="1" applyFill="1" applyBorder="1" applyAlignment="1">
      <alignment horizontal="right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wrapText="1"/>
    </xf>
    <xf numFmtId="164" fontId="3" fillId="0" borderId="0" xfId="2" applyNumberFormat="1" applyFont="1" applyFill="1" applyBorder="1" applyAlignment="1">
      <alignment horizontal="center" wrapText="1"/>
    </xf>
    <xf numFmtId="6" fontId="3" fillId="0" borderId="0" xfId="0" applyNumberFormat="1" applyFont="1" applyFill="1" applyBorder="1" applyAlignment="1">
      <alignment wrapText="1"/>
    </xf>
    <xf numFmtId="164" fontId="8" fillId="0" borderId="0" xfId="2" applyNumberFormat="1" applyFont="1" applyFill="1" applyBorder="1"/>
    <xf numFmtId="0" fontId="8" fillId="0" borderId="0" xfId="0" applyFont="1" applyFill="1" applyBorder="1"/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6" fontId="3" fillId="0" borderId="0" xfId="0" applyNumberFormat="1" applyFont="1" applyBorder="1" applyAlignment="1">
      <alignment wrapText="1"/>
    </xf>
    <xf numFmtId="10" fontId="3" fillId="0" borderId="0" xfId="3" applyNumberFormat="1" applyFont="1" applyBorder="1" applyAlignment="1">
      <alignment wrapText="1"/>
    </xf>
    <xf numFmtId="6" fontId="7" fillId="0" borderId="7" xfId="0" applyNumberFormat="1" applyFont="1" applyBorder="1" applyAlignment="1">
      <alignment horizontal="right" wrapText="1"/>
    </xf>
    <xf numFmtId="0" fontId="0" fillId="0" borderId="0" xfId="0" applyBorder="1"/>
    <xf numFmtId="0" fontId="8" fillId="0" borderId="0" xfId="0" quotePrefix="1" applyFont="1" applyBorder="1"/>
    <xf numFmtId="165" fontId="8" fillId="0" borderId="0" xfId="1" applyNumberFormat="1" applyFont="1" applyBorder="1"/>
    <xf numFmtId="9" fontId="8" fillId="0" borderId="0" xfId="3" applyFont="1" applyBorder="1"/>
    <xf numFmtId="164" fontId="8" fillId="0" borderId="0" xfId="2" applyNumberFormat="1" applyFont="1" applyBorder="1"/>
    <xf numFmtId="0" fontId="8" fillId="0" borderId="0" xfId="0" applyFont="1" applyBorder="1"/>
    <xf numFmtId="0" fontId="6" fillId="0" borderId="6" xfId="0" applyFont="1" applyFill="1" applyBorder="1" applyAlignment="1">
      <alignment wrapText="1"/>
    </xf>
    <xf numFmtId="164" fontId="7" fillId="0" borderId="4" xfId="2" applyNumberFormat="1" applyFont="1" applyBorder="1" applyAlignment="1">
      <alignment wrapText="1"/>
    </xf>
    <xf numFmtId="166" fontId="7" fillId="0" borderId="4" xfId="3" applyNumberFormat="1" applyFont="1" applyBorder="1" applyAlignment="1">
      <alignment horizontal="right" wrapText="1"/>
    </xf>
    <xf numFmtId="0" fontId="5" fillId="2" borderId="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reds\mgardner\Fleet\Fleet%20FYE17\FY17%20Billings\City%20of%20PTLD\JUL2016%20-%20MCY%20Billing%20Analysi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yeonshared\Freds\MGARDNER\Fleet\Fleet%20FYE02\Billings%20FYE02\Sep%202001%20County%20Fleet%20Billi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yeonshared\Freds\mgardner\Fleet\Fleet%20FYE05\Billings%20FY05\Jul%202002%20County%20Fleet%20Bill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.2%20New%20JULY%2001%20Space%20Allocations%20bill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Budget%20Review/FY11/Copy%20of%20FY11%20Current%20Year%20Estimates%20(CYEs)/Salary%20Projectio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2.%20Files%20Received/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B/Desktop/FY19%20Template%20-%20Leases%20from%20Elis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FY17/Post%20Big%20Release/Fund%203505%20Request%20Wk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3.%20Manager%20Submission%20Versions/FY18%20Fund%203505%20Combined%20Submissions%2011.20.16%20Updat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2%20-%20709000%20rev3.1213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2%20BWC%20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3A2___EBS_Billing_IGA"/>
      <sheetName val="MOD"/>
      <sheetName val="VL CoP RM"/>
      <sheetName val="FUE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BCS"/>
      <sheetName val="TRANS"/>
      <sheetName val="LIB"/>
      <sheetName val="METRO"/>
      <sheetName val="July Parkin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9 Leases Rev &amp; Exp"/>
      <sheetName val="Sheet2"/>
    </sheetNames>
    <sheetDataSet>
      <sheetData sheetId="0"/>
      <sheetData sheetId="1">
        <row r="1">
          <cell r="A1" t="str">
            <v>50240 - Property Space Rentals</v>
          </cell>
        </row>
        <row r="2">
          <cell r="A2" t="str">
            <v>60210 - Rentals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1">
          <cell r="D1">
            <v>0</v>
          </cell>
          <cell r="G1">
            <v>0</v>
          </cell>
          <cell r="J1">
            <v>0</v>
          </cell>
        </row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B51"/>
  <sheetViews>
    <sheetView showGridLines="0" tabSelected="1" zoomScale="80" zoomScaleNormal="80" workbookViewId="0">
      <selection activeCell="C12" sqref="C12"/>
    </sheetView>
  </sheetViews>
  <sheetFormatPr defaultRowHeight="15" x14ac:dyDescent="0.25"/>
  <cols>
    <col min="1" max="1" width="58" customWidth="1"/>
    <col min="2" max="2" width="17.5703125" customWidth="1"/>
    <col min="3" max="3" width="15.140625" customWidth="1"/>
    <col min="4" max="4" width="14.7109375" customWidth="1"/>
    <col min="5" max="5" width="14.85546875" customWidth="1"/>
    <col min="6" max="6" width="14.7109375" customWidth="1"/>
    <col min="7" max="7" width="14.85546875" customWidth="1"/>
    <col min="8" max="8" width="16.85546875" customWidth="1"/>
    <col min="9" max="9" width="15.85546875" customWidth="1"/>
    <col min="10" max="10" width="16.7109375" customWidth="1"/>
    <col min="11" max="12" width="16.5703125" customWidth="1"/>
    <col min="13" max="15" width="17.5703125" customWidth="1"/>
    <col min="16" max="16" width="18.85546875" bestFit="1" customWidth="1"/>
    <col min="17" max="17" width="17" style="13" customWidth="1"/>
    <col min="18" max="18" width="2.28515625" style="13" customWidth="1"/>
    <col min="19" max="19" width="13.28515625" style="13" customWidth="1"/>
    <col min="20" max="21" width="9.140625" style="13"/>
    <col min="22" max="22" width="9.7109375" style="13" bestFit="1" customWidth="1"/>
    <col min="23" max="179" width="9.140625" style="13"/>
    <col min="180" max="262" width="9.140625" style="9"/>
  </cols>
  <sheetData>
    <row r="1" spans="1:28" ht="27" thickBot="1" x14ac:dyDescent="0.45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10"/>
      <c r="R1" s="11"/>
      <c r="S1" s="10"/>
      <c r="T1" s="12"/>
      <c r="U1" s="12"/>
      <c r="V1" s="12"/>
      <c r="W1" s="12"/>
      <c r="X1" s="12"/>
      <c r="Y1" s="12"/>
      <c r="Z1" s="12"/>
      <c r="AA1" s="12"/>
      <c r="AB1" s="12"/>
    </row>
    <row r="2" spans="1:28" ht="49.5" customHeight="1" thickBot="1" x14ac:dyDescent="0.3">
      <c r="A2" s="33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4"/>
      <c r="R2" s="14"/>
      <c r="S2" s="14"/>
      <c r="T2" s="12"/>
      <c r="U2" s="12"/>
      <c r="V2" s="12"/>
      <c r="W2" s="12"/>
      <c r="X2" s="12"/>
      <c r="Y2" s="12"/>
      <c r="Z2" s="12"/>
      <c r="AA2" s="12"/>
      <c r="AB2" s="12"/>
    </row>
    <row r="3" spans="1:28" ht="30" customHeight="1" thickBot="1" x14ac:dyDescent="0.3">
      <c r="A3" s="2" t="s">
        <v>15</v>
      </c>
      <c r="B3" s="8">
        <v>168867.36325667994</v>
      </c>
      <c r="C3" s="8">
        <v>302335.63167191931</v>
      </c>
      <c r="D3" s="8">
        <v>1129783.11746849</v>
      </c>
      <c r="E3" s="8">
        <v>710997.14271424012</v>
      </c>
      <c r="F3" s="8">
        <v>210106.59999999998</v>
      </c>
      <c r="G3" s="8">
        <v>220267.0734877676</v>
      </c>
      <c r="H3" s="8">
        <v>2041900.5934500992</v>
      </c>
      <c r="I3" s="8">
        <v>365802.4</v>
      </c>
      <c r="J3" s="8">
        <v>335485.83808543859</v>
      </c>
      <c r="K3" s="8">
        <v>123102.45473436761</v>
      </c>
      <c r="L3" s="8">
        <v>57982</v>
      </c>
      <c r="M3" s="8">
        <v>0</v>
      </c>
      <c r="N3" s="8">
        <v>0</v>
      </c>
      <c r="O3" s="8">
        <v>14408.491472305426</v>
      </c>
      <c r="P3" s="8">
        <f>SUM(B3:O3)</f>
        <v>5681038.7063413085</v>
      </c>
      <c r="Q3" s="15"/>
      <c r="R3" s="15"/>
      <c r="S3" s="15"/>
      <c r="T3" s="12"/>
      <c r="U3" s="12"/>
      <c r="V3" s="12"/>
      <c r="W3" s="12"/>
      <c r="X3" s="12"/>
      <c r="Y3" s="12"/>
      <c r="Z3" s="12"/>
      <c r="AA3" s="12"/>
      <c r="AB3" s="12"/>
    </row>
    <row r="4" spans="1:28" ht="30" customHeight="1" thickBot="1" x14ac:dyDescent="0.3">
      <c r="A4" s="2" t="s">
        <v>16</v>
      </c>
      <c r="B4" s="8">
        <v>1215711.1856866009</v>
      </c>
      <c r="C4" s="8">
        <v>2903326.5281264549</v>
      </c>
      <c r="D4" s="8">
        <v>9765647.0706591196</v>
      </c>
      <c r="E4" s="8">
        <v>8001734.1477865661</v>
      </c>
      <c r="F4" s="8">
        <v>4075491.7098859763</v>
      </c>
      <c r="G4" s="8">
        <v>3251470.2334220298</v>
      </c>
      <c r="H4" s="8">
        <v>19951102.048345592</v>
      </c>
      <c r="I4" s="8">
        <v>8409716.0360463187</v>
      </c>
      <c r="J4" s="8">
        <v>5529759.5108363666</v>
      </c>
      <c r="K4" s="8">
        <v>1355981.6887590652</v>
      </c>
      <c r="L4" s="8">
        <f>546716+61376</f>
        <v>608092</v>
      </c>
      <c r="M4" s="8">
        <v>792632.49569627934</v>
      </c>
      <c r="N4" s="8">
        <v>0</v>
      </c>
      <c r="O4" s="8">
        <v>0</v>
      </c>
      <c r="P4" s="8">
        <f t="shared" ref="P4:P10" si="0">SUM(B4:O4)</f>
        <v>65860664.655250363</v>
      </c>
      <c r="Q4" s="15"/>
      <c r="R4" s="15"/>
      <c r="S4" s="15"/>
      <c r="T4" s="12"/>
      <c r="U4" s="12"/>
      <c r="V4" s="12"/>
      <c r="W4" s="12"/>
      <c r="X4" s="12"/>
      <c r="Y4" s="12"/>
      <c r="Z4" s="12"/>
      <c r="AA4" s="12"/>
      <c r="AB4" s="12"/>
    </row>
    <row r="5" spans="1:28" ht="30" customHeight="1" thickBot="1" x14ac:dyDescent="0.3">
      <c r="A5" s="2" t="s">
        <v>17</v>
      </c>
      <c r="B5" s="8">
        <v>102207.0694412</v>
      </c>
      <c r="C5" s="8">
        <v>1194058.7853665</v>
      </c>
      <c r="D5" s="8">
        <v>309206.13911000005</v>
      </c>
      <c r="E5" s="8">
        <v>774982.66281220014</v>
      </c>
      <c r="F5" s="8">
        <v>0</v>
      </c>
      <c r="G5" s="8">
        <v>1882075.8196727005</v>
      </c>
      <c r="H5" s="8">
        <v>425343.8614831001</v>
      </c>
      <c r="I5" s="8">
        <v>154386.85834870001</v>
      </c>
      <c r="J5" s="8">
        <v>3397082.136087202</v>
      </c>
      <c r="K5" s="8">
        <v>69180.334337399996</v>
      </c>
      <c r="L5" s="8">
        <v>0</v>
      </c>
      <c r="M5" s="8">
        <v>0</v>
      </c>
      <c r="N5" s="8">
        <v>0</v>
      </c>
      <c r="O5" s="8">
        <v>0</v>
      </c>
      <c r="P5" s="8">
        <f t="shared" si="0"/>
        <v>8308523.6666590031</v>
      </c>
      <c r="Q5" s="15"/>
      <c r="R5" s="15"/>
      <c r="S5" s="15"/>
      <c r="T5" s="12"/>
      <c r="U5" s="12"/>
      <c r="V5" s="12"/>
      <c r="W5" s="12"/>
      <c r="X5" s="12"/>
      <c r="Y5" s="12"/>
      <c r="Z5" s="12"/>
      <c r="AA5" s="12"/>
      <c r="AB5" s="12"/>
    </row>
    <row r="6" spans="1:28" ht="30" customHeight="1" thickBot="1" x14ac:dyDescent="0.3">
      <c r="A6" s="2" t="s">
        <v>18</v>
      </c>
      <c r="B6" s="8">
        <v>15408</v>
      </c>
      <c r="C6" s="8">
        <v>27126</v>
      </c>
      <c r="D6" s="8">
        <v>727355</v>
      </c>
      <c r="E6" s="8">
        <v>16658</v>
      </c>
      <c r="F6" s="8">
        <v>30120</v>
      </c>
      <c r="G6" s="8">
        <v>43066</v>
      </c>
      <c r="H6" s="8">
        <v>337483</v>
      </c>
      <c r="I6" s="8">
        <v>2214</v>
      </c>
      <c r="J6" s="8">
        <v>2781</v>
      </c>
      <c r="K6" s="8">
        <v>57980</v>
      </c>
      <c r="L6" s="8">
        <v>2167</v>
      </c>
      <c r="M6" s="8">
        <v>0</v>
      </c>
      <c r="N6" s="8">
        <v>0</v>
      </c>
      <c r="O6" s="8">
        <v>0</v>
      </c>
      <c r="P6" s="8">
        <f t="shared" si="0"/>
        <v>1262358</v>
      </c>
      <c r="Q6" s="15"/>
      <c r="R6" s="15"/>
      <c r="S6" s="15"/>
      <c r="T6" s="12"/>
      <c r="U6" s="12"/>
      <c r="V6" s="12"/>
      <c r="W6" s="12"/>
      <c r="X6" s="12"/>
      <c r="Y6" s="12"/>
      <c r="Z6" s="12"/>
      <c r="AA6" s="12"/>
      <c r="AB6" s="12"/>
    </row>
    <row r="7" spans="1:28" ht="30" customHeight="1" thickBot="1" x14ac:dyDescent="0.3">
      <c r="A7" s="2" t="s">
        <v>19</v>
      </c>
      <c r="B7" s="8">
        <v>2320931.2464848035</v>
      </c>
      <c r="C7" s="8">
        <v>2681994.7441987321</v>
      </c>
      <c r="D7" s="8">
        <v>5236224.2075214004</v>
      </c>
      <c r="E7" s="8">
        <v>5497048.8908810038</v>
      </c>
      <c r="F7" s="8">
        <v>1440736.4610742098</v>
      </c>
      <c r="G7" s="8">
        <v>2681636.2761890101</v>
      </c>
      <c r="H7" s="8">
        <v>11413543.765633916</v>
      </c>
      <c r="I7" s="8">
        <v>8828402.724362148</v>
      </c>
      <c r="J7" s="8">
        <v>12623318.895593589</v>
      </c>
      <c r="K7" s="8">
        <v>11809739.372719441</v>
      </c>
      <c r="L7" s="8">
        <v>2506137.2415223671</v>
      </c>
      <c r="M7" s="8">
        <v>0</v>
      </c>
      <c r="N7" s="8">
        <v>14361.017437513314</v>
      </c>
      <c r="O7" s="8">
        <v>0</v>
      </c>
      <c r="P7" s="8">
        <f t="shared" si="0"/>
        <v>67054074.843618125</v>
      </c>
      <c r="Q7" s="15"/>
      <c r="R7" s="15"/>
      <c r="S7" s="15"/>
      <c r="T7" s="12"/>
      <c r="U7" s="12"/>
      <c r="V7" s="12"/>
      <c r="W7" s="12"/>
      <c r="X7" s="12"/>
      <c r="Y7" s="12"/>
      <c r="Z7" s="12"/>
      <c r="AA7" s="12"/>
      <c r="AB7" s="12"/>
    </row>
    <row r="8" spans="1:28" ht="30" customHeight="1" thickBot="1" x14ac:dyDescent="0.3">
      <c r="A8" s="2" t="s">
        <v>20</v>
      </c>
      <c r="B8" s="8">
        <v>50416.080408568479</v>
      </c>
      <c r="C8" s="8">
        <v>78598.180177136848</v>
      </c>
      <c r="D8" s="8">
        <v>675085.47485781752</v>
      </c>
      <c r="E8" s="8">
        <v>529322.04310342413</v>
      </c>
      <c r="F8" s="8">
        <v>119984.24164570177</v>
      </c>
      <c r="G8" s="8">
        <v>26159.446201000439</v>
      </c>
      <c r="H8" s="8">
        <v>2729711.9931555423</v>
      </c>
      <c r="I8" s="8">
        <v>525566.64</v>
      </c>
      <c r="J8" s="8">
        <v>233190.23686501628</v>
      </c>
      <c r="K8" s="8">
        <v>301644.07230213523</v>
      </c>
      <c r="L8" s="8">
        <v>0</v>
      </c>
      <c r="M8" s="8">
        <v>0</v>
      </c>
      <c r="N8" s="8">
        <v>52.898014544933261</v>
      </c>
      <c r="O8" s="8">
        <v>0</v>
      </c>
      <c r="P8" s="8">
        <f t="shared" si="0"/>
        <v>5269731.3067308879</v>
      </c>
      <c r="Q8" s="15"/>
      <c r="R8" s="15"/>
      <c r="S8" s="15"/>
      <c r="T8" s="12"/>
      <c r="U8" s="12"/>
      <c r="V8" s="12"/>
      <c r="W8" s="12"/>
      <c r="X8" s="12"/>
      <c r="Y8" s="12"/>
      <c r="Z8" s="12"/>
      <c r="AA8" s="12"/>
      <c r="AB8" s="12"/>
    </row>
    <row r="9" spans="1:28" ht="30" customHeight="1" thickBot="1" x14ac:dyDescent="0.3">
      <c r="A9" s="2" t="s">
        <v>21</v>
      </c>
      <c r="B9" s="8">
        <v>119312.19538861749</v>
      </c>
      <c r="C9" s="8">
        <v>81921.284106718274</v>
      </c>
      <c r="D9" s="8">
        <v>160986.20092696935</v>
      </c>
      <c r="E9" s="8">
        <v>75154.217183089058</v>
      </c>
      <c r="F9" s="8">
        <v>316925.15308126132</v>
      </c>
      <c r="G9" s="8">
        <v>103849.49820708923</v>
      </c>
      <c r="H9" s="8">
        <v>729702.40330345894</v>
      </c>
      <c r="I9" s="8">
        <v>8591.844872195079</v>
      </c>
      <c r="J9" s="8">
        <v>116100.3066720775</v>
      </c>
      <c r="K9" s="8">
        <v>44885.455386328285</v>
      </c>
      <c r="L9" s="8">
        <v>114095.50341619509</v>
      </c>
      <c r="M9" s="8">
        <v>0</v>
      </c>
      <c r="N9" s="8">
        <v>0</v>
      </c>
      <c r="O9" s="8">
        <v>0</v>
      </c>
      <c r="P9" s="8">
        <f t="shared" si="0"/>
        <v>1871524.0625439996</v>
      </c>
      <c r="Q9" s="15"/>
      <c r="R9" s="15"/>
      <c r="S9" s="15"/>
      <c r="T9" s="12"/>
      <c r="U9" s="12"/>
      <c r="V9" s="16"/>
      <c r="W9" s="12"/>
      <c r="X9" s="12"/>
      <c r="Y9" s="12"/>
      <c r="Z9" s="12"/>
      <c r="AA9" s="12"/>
      <c r="AB9" s="12"/>
    </row>
    <row r="10" spans="1:28" ht="30" customHeight="1" thickBot="1" x14ac:dyDescent="0.3">
      <c r="A10" s="2" t="s">
        <v>29</v>
      </c>
      <c r="B10" s="8">
        <v>373325.28684817802</v>
      </c>
      <c r="C10" s="8">
        <v>35526.906629807934</v>
      </c>
      <c r="D10" s="8">
        <v>387558.6491872638</v>
      </c>
      <c r="E10" s="8">
        <v>444414.27956448798</v>
      </c>
      <c r="F10" s="8">
        <v>89692.29535071885</v>
      </c>
      <c r="G10" s="8">
        <v>53231.155024686399</v>
      </c>
      <c r="H10" s="8">
        <v>415597.24595670553</v>
      </c>
      <c r="I10" s="8">
        <v>38587.153958371615</v>
      </c>
      <c r="J10" s="8">
        <v>198063.90011661741</v>
      </c>
      <c r="K10" s="8">
        <v>60251.127363162261</v>
      </c>
      <c r="L10" s="8">
        <v>1616</v>
      </c>
      <c r="M10" s="8">
        <v>0</v>
      </c>
      <c r="N10" s="8">
        <v>0</v>
      </c>
      <c r="O10" s="8">
        <v>0</v>
      </c>
      <c r="P10" s="8">
        <f t="shared" si="0"/>
        <v>2097863.9999999995</v>
      </c>
      <c r="Q10" s="15"/>
      <c r="R10" s="15"/>
      <c r="S10" s="15"/>
      <c r="T10" s="12"/>
      <c r="U10" s="12"/>
      <c r="V10" s="16"/>
      <c r="W10" s="12"/>
      <c r="X10" s="12"/>
      <c r="Y10" s="12"/>
      <c r="Z10" s="12"/>
      <c r="AA10" s="12"/>
      <c r="AB10" s="12"/>
    </row>
    <row r="11" spans="1:28" ht="30" customHeight="1" thickBot="1" x14ac:dyDescent="0.3">
      <c r="A11" s="6" t="s">
        <v>14</v>
      </c>
      <c r="B11" s="23">
        <f t="shared" ref="B11:P11" si="1">SUM(B3:B10)</f>
        <v>4366178.4275146481</v>
      </c>
      <c r="C11" s="23">
        <f t="shared" si="1"/>
        <v>7304888.0602772702</v>
      </c>
      <c r="D11" s="23">
        <f t="shared" si="1"/>
        <v>18391845.859731063</v>
      </c>
      <c r="E11" s="23">
        <f t="shared" si="1"/>
        <v>16050311.384045012</v>
      </c>
      <c r="F11" s="23">
        <f t="shared" si="1"/>
        <v>6283056.4610378686</v>
      </c>
      <c r="G11" s="23">
        <f t="shared" si="1"/>
        <v>8261755.502204285</v>
      </c>
      <c r="H11" s="23">
        <f t="shared" si="1"/>
        <v>38044384.911328413</v>
      </c>
      <c r="I11" s="23">
        <f t="shared" si="1"/>
        <v>18333267.657587733</v>
      </c>
      <c r="J11" s="23">
        <f t="shared" si="1"/>
        <v>22435781.824256312</v>
      </c>
      <c r="K11" s="23">
        <f t="shared" si="1"/>
        <v>13822764.505601898</v>
      </c>
      <c r="L11" s="23">
        <f t="shared" si="1"/>
        <v>3290089.7449385622</v>
      </c>
      <c r="M11" s="23">
        <f t="shared" si="1"/>
        <v>792632.49569627934</v>
      </c>
      <c r="N11" s="23">
        <f t="shared" si="1"/>
        <v>14413.915452058247</v>
      </c>
      <c r="O11" s="23">
        <f t="shared" si="1"/>
        <v>14408.491472305426</v>
      </c>
      <c r="P11" s="23">
        <f t="shared" si="1"/>
        <v>157405779.24114367</v>
      </c>
      <c r="Q11" s="15"/>
      <c r="R11" s="15"/>
      <c r="S11" s="15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ht="65.25" thickTop="1" x14ac:dyDescent="0.25">
      <c r="A12" s="20" t="s">
        <v>30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  <c r="N13" s="21"/>
      <c r="O13" s="22"/>
      <c r="P13" s="2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ht="27" thickBot="1" x14ac:dyDescent="0.45">
      <c r="A14" s="37" t="s">
        <v>23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ht="46.5" customHeight="1" thickBot="1" x14ac:dyDescent="0.3">
      <c r="A15" s="33" t="s">
        <v>24</v>
      </c>
      <c r="B15" s="1" t="s">
        <v>0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11</v>
      </c>
      <c r="N15" s="1" t="s">
        <v>12</v>
      </c>
      <c r="O15" s="1" t="s">
        <v>13</v>
      </c>
      <c r="P15" s="1" t="s">
        <v>14</v>
      </c>
      <c r="Q15" s="14"/>
      <c r="R15" s="14"/>
      <c r="S15" s="14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27" customHeight="1" thickBot="1" x14ac:dyDescent="0.3">
      <c r="A16" s="2" t="s">
        <v>15</v>
      </c>
      <c r="B16" s="3">
        <f>140450+0</f>
        <v>140450</v>
      </c>
      <c r="C16" s="3">
        <f>122064+95096</f>
        <v>217160</v>
      </c>
      <c r="D16" s="3">
        <f>518843+388847</f>
        <v>907690</v>
      </c>
      <c r="E16" s="3">
        <f>378758+298335</f>
        <v>677093</v>
      </c>
      <c r="F16" s="3">
        <f>152073+78354</f>
        <v>230427</v>
      </c>
      <c r="G16" s="3">
        <f>119244+88020</f>
        <v>207264</v>
      </c>
      <c r="H16" s="3">
        <f>1087958+645355</f>
        <v>1733313</v>
      </c>
      <c r="I16" s="3">
        <f>243533+89626</f>
        <v>333159</v>
      </c>
      <c r="J16" s="3">
        <f>266382+0</f>
        <v>266382</v>
      </c>
      <c r="K16" s="3">
        <f>78197+48123</f>
        <v>126320</v>
      </c>
      <c r="L16" s="3">
        <f>23771+25846</f>
        <v>49617</v>
      </c>
      <c r="M16" s="3">
        <v>0</v>
      </c>
      <c r="N16" s="3">
        <v>0</v>
      </c>
      <c r="O16" s="3">
        <v>144328</v>
      </c>
      <c r="P16" s="3">
        <f>SUM(B16:O16)</f>
        <v>5033203</v>
      </c>
      <c r="Q16" s="15"/>
      <c r="R16" s="15"/>
      <c r="S16" s="15"/>
      <c r="T16" s="12"/>
      <c r="U16" s="12"/>
      <c r="V16" s="12"/>
      <c r="W16" s="12"/>
      <c r="X16" s="12"/>
      <c r="Y16" s="12"/>
      <c r="Z16" s="12"/>
      <c r="AA16" s="12"/>
      <c r="AB16" s="12"/>
    </row>
    <row r="17" spans="1:262" ht="30.75" customHeight="1" thickBot="1" x14ac:dyDescent="0.3">
      <c r="A17" s="2" t="s">
        <v>16</v>
      </c>
      <c r="B17" s="3">
        <f>748463+290985</f>
        <v>1039448</v>
      </c>
      <c r="C17" s="3">
        <f>2745593+65159</f>
        <v>2810752</v>
      </c>
      <c r="D17" s="3">
        <f>8195330+939856</f>
        <v>9135186</v>
      </c>
      <c r="E17" s="3">
        <f>6794030+739229</f>
        <v>7533259</v>
      </c>
      <c r="F17" s="3">
        <f>3467038+352038</f>
        <v>3819076</v>
      </c>
      <c r="G17" s="3">
        <f>2733123+293771</f>
        <v>3026894</v>
      </c>
      <c r="H17" s="3">
        <f>16694725+2078989</f>
        <v>18773714</v>
      </c>
      <c r="I17" s="3">
        <f>7014737+745147</f>
        <v>7759884</v>
      </c>
      <c r="J17" s="3">
        <f>4248561+1116967</f>
        <v>5365528</v>
      </c>
      <c r="K17" s="3">
        <f>1151008+100251</f>
        <v>1251259</v>
      </c>
      <c r="L17" s="3">
        <f>315305+61358</f>
        <v>376663</v>
      </c>
      <c r="M17" s="3">
        <v>736008</v>
      </c>
      <c r="N17" s="3">
        <v>0</v>
      </c>
      <c r="O17" s="3">
        <v>0</v>
      </c>
      <c r="P17" s="3">
        <f t="shared" ref="P17:P23" si="2">SUM(B17:O17)</f>
        <v>61627671</v>
      </c>
      <c r="Q17" s="15"/>
      <c r="R17" s="15"/>
      <c r="S17" s="15"/>
      <c r="T17" s="12"/>
      <c r="U17" s="12"/>
      <c r="V17" s="12"/>
      <c r="W17" s="12"/>
      <c r="X17" s="12"/>
      <c r="Y17" s="12"/>
      <c r="Z17" s="12"/>
      <c r="AA17" s="12"/>
      <c r="AB17" s="12"/>
    </row>
    <row r="18" spans="1:262" ht="30" customHeight="1" thickBot="1" x14ac:dyDescent="0.3">
      <c r="A18" s="2" t="s">
        <v>17</v>
      </c>
      <c r="B18" s="3">
        <v>101539</v>
      </c>
      <c r="C18" s="3">
        <v>992622</v>
      </c>
      <c r="D18" s="3">
        <v>270789</v>
      </c>
      <c r="E18" s="3">
        <v>650251</v>
      </c>
      <c r="F18" s="3">
        <v>0</v>
      </c>
      <c r="G18" s="3">
        <v>1771380</v>
      </c>
      <c r="H18" s="3">
        <v>329262</v>
      </c>
      <c r="I18" s="3">
        <v>149895</v>
      </c>
      <c r="J18" s="3">
        <v>3375566</v>
      </c>
      <c r="K18" s="3">
        <v>89032</v>
      </c>
      <c r="L18" s="3">
        <v>0</v>
      </c>
      <c r="M18" s="3">
        <v>0</v>
      </c>
      <c r="N18" s="3">
        <v>0</v>
      </c>
      <c r="O18" s="3">
        <v>0</v>
      </c>
      <c r="P18" s="3">
        <f t="shared" si="2"/>
        <v>7730336</v>
      </c>
      <c r="Q18" s="15"/>
      <c r="R18" s="15"/>
      <c r="S18" s="15"/>
      <c r="T18" s="12"/>
      <c r="U18" s="12"/>
      <c r="V18" s="12"/>
      <c r="W18" s="12"/>
      <c r="X18" s="12"/>
      <c r="Y18" s="12"/>
      <c r="Z18" s="12"/>
      <c r="AA18" s="12"/>
      <c r="AB18" s="12"/>
    </row>
    <row r="19" spans="1:262" ht="30" customHeight="1" thickBot="1" x14ac:dyDescent="0.3">
      <c r="A19" s="2" t="s">
        <v>18</v>
      </c>
      <c r="B19" s="3">
        <v>8242</v>
      </c>
      <c r="C19" s="3">
        <v>54542</v>
      </c>
      <c r="D19" s="3">
        <v>620363</v>
      </c>
      <c r="E19" s="3">
        <v>8080</v>
      </c>
      <c r="F19" s="3">
        <v>30880</v>
      </c>
      <c r="G19" s="3">
        <v>52848</v>
      </c>
      <c r="H19" s="3">
        <v>386002</v>
      </c>
      <c r="I19" s="3">
        <v>5501</v>
      </c>
      <c r="J19" s="3">
        <v>557</v>
      </c>
      <c r="K19" s="3">
        <v>57408</v>
      </c>
      <c r="L19" s="3">
        <v>3767</v>
      </c>
      <c r="M19" s="3">
        <v>0</v>
      </c>
      <c r="N19" s="3">
        <v>0</v>
      </c>
      <c r="O19" s="3">
        <v>0</v>
      </c>
      <c r="P19" s="3">
        <f t="shared" si="2"/>
        <v>1228190</v>
      </c>
      <c r="Q19" s="15"/>
      <c r="R19" s="15"/>
      <c r="S19" s="15"/>
      <c r="T19" s="12"/>
      <c r="U19" s="12"/>
      <c r="V19" s="12"/>
      <c r="W19" s="12"/>
      <c r="X19" s="12"/>
      <c r="Y19" s="12"/>
      <c r="Z19" s="12"/>
      <c r="AA19" s="12"/>
      <c r="AB19" s="12"/>
    </row>
    <row r="20" spans="1:262" ht="29.25" customHeight="1" thickBot="1" x14ac:dyDescent="0.3">
      <c r="A20" s="2" t="s">
        <v>19</v>
      </c>
      <c r="B20" s="3">
        <v>2238941.1087426599</v>
      </c>
      <c r="C20" s="3">
        <v>2378430.7078207494</v>
      </c>
      <c r="D20" s="3">
        <v>5138324.5698551619</v>
      </c>
      <c r="E20" s="3">
        <v>5155021.1864273185</v>
      </c>
      <c r="F20" s="3">
        <v>1403432.8047252102</v>
      </c>
      <c r="G20" s="3">
        <v>2536933.1651633224</v>
      </c>
      <c r="H20" s="3">
        <v>11025046.612989943</v>
      </c>
      <c r="I20" s="3">
        <v>8625618.4341549724</v>
      </c>
      <c r="J20" s="3">
        <v>11979780.65118145</v>
      </c>
      <c r="K20" s="3">
        <v>11142004.411451604</v>
      </c>
      <c r="L20" s="3">
        <v>1309169.9605246771</v>
      </c>
      <c r="M20" s="3">
        <v>0</v>
      </c>
      <c r="N20" s="3">
        <v>13608.664438340711</v>
      </c>
      <c r="O20" s="3">
        <v>0</v>
      </c>
      <c r="P20" s="3">
        <f t="shared" si="2"/>
        <v>62946312.277475402</v>
      </c>
      <c r="Q20" s="15"/>
      <c r="R20" s="15"/>
      <c r="S20" s="15"/>
      <c r="T20" s="12"/>
      <c r="U20" s="12"/>
      <c r="V20" s="12"/>
      <c r="W20" s="12"/>
      <c r="X20" s="12"/>
      <c r="Y20" s="12"/>
      <c r="Z20" s="12"/>
      <c r="AA20" s="12"/>
      <c r="AB20" s="12"/>
    </row>
    <row r="21" spans="1:262" ht="32.25" customHeight="1" thickBot="1" x14ac:dyDescent="0.3">
      <c r="A21" s="2" t="s">
        <v>20</v>
      </c>
      <c r="B21" s="3">
        <v>53342.394888664458</v>
      </c>
      <c r="C21" s="3">
        <v>72534.913047174312</v>
      </c>
      <c r="D21" s="3">
        <v>566474.52976640314</v>
      </c>
      <c r="E21" s="3">
        <v>663463.89534546656</v>
      </c>
      <c r="F21" s="3">
        <v>117836.74660504507</v>
      </c>
      <c r="G21" s="3">
        <v>23099.797822985201</v>
      </c>
      <c r="H21" s="3">
        <v>2314427.7432410093</v>
      </c>
      <c r="I21" s="3">
        <v>591300.26</v>
      </c>
      <c r="J21" s="3">
        <v>171872.71576935725</v>
      </c>
      <c r="K21" s="3">
        <v>313927.2742384111</v>
      </c>
      <c r="L21" s="3">
        <v>0</v>
      </c>
      <c r="M21" s="3">
        <v>0</v>
      </c>
      <c r="N21" s="3">
        <v>0</v>
      </c>
      <c r="O21" s="3">
        <v>0</v>
      </c>
      <c r="P21" s="3">
        <f t="shared" si="2"/>
        <v>4888280.2707245164</v>
      </c>
      <c r="Q21" s="15"/>
      <c r="R21" s="15"/>
      <c r="S21" s="15"/>
      <c r="T21" s="12"/>
      <c r="U21" s="12"/>
      <c r="V21" s="12"/>
      <c r="W21" s="12"/>
      <c r="X21" s="12"/>
      <c r="Y21" s="12"/>
      <c r="Z21" s="12"/>
      <c r="AA21" s="12"/>
      <c r="AB21" s="12"/>
    </row>
    <row r="22" spans="1:262" ht="27.75" customHeight="1" thickBot="1" x14ac:dyDescent="0.3">
      <c r="A22" s="2" t="s">
        <v>21</v>
      </c>
      <c r="B22" s="3">
        <v>127599</v>
      </c>
      <c r="C22" s="3">
        <v>187822</v>
      </c>
      <c r="D22" s="3">
        <v>137289</v>
      </c>
      <c r="E22" s="3">
        <v>76722</v>
      </c>
      <c r="F22" s="3">
        <v>269721</v>
      </c>
      <c r="G22" s="3">
        <v>80461</v>
      </c>
      <c r="H22" s="3">
        <v>631730</v>
      </c>
      <c r="I22" s="3">
        <v>6275</v>
      </c>
      <c r="J22" s="3">
        <v>110571</v>
      </c>
      <c r="K22" s="3">
        <v>29588</v>
      </c>
      <c r="L22" s="3">
        <v>6275</v>
      </c>
      <c r="M22" s="3">
        <v>0</v>
      </c>
      <c r="N22" s="3">
        <v>0</v>
      </c>
      <c r="O22" s="3">
        <v>0</v>
      </c>
      <c r="P22" s="3">
        <f t="shared" si="2"/>
        <v>1664053</v>
      </c>
      <c r="Q22" s="15"/>
      <c r="R22" s="15"/>
      <c r="S22" s="15"/>
      <c r="T22" s="12"/>
      <c r="U22" s="12"/>
      <c r="V22" s="12"/>
      <c r="W22" s="12"/>
      <c r="X22" s="12"/>
      <c r="Y22" s="12"/>
      <c r="Z22" s="12"/>
      <c r="AA22" s="12"/>
      <c r="AB22" s="12"/>
    </row>
    <row r="23" spans="1:262" ht="27.75" customHeight="1" x14ac:dyDescent="0.25">
      <c r="A23" s="30" t="s">
        <v>22</v>
      </c>
      <c r="B23" s="4">
        <v>343574</v>
      </c>
      <c r="C23" s="4">
        <v>55905</v>
      </c>
      <c r="D23" s="4">
        <v>411981</v>
      </c>
      <c r="E23" s="4">
        <v>389527</v>
      </c>
      <c r="F23" s="4">
        <v>103965</v>
      </c>
      <c r="G23" s="4">
        <v>56465</v>
      </c>
      <c r="H23" s="4">
        <v>438229</v>
      </c>
      <c r="I23" s="4">
        <v>33375</v>
      </c>
      <c r="J23" s="4">
        <v>177345</v>
      </c>
      <c r="K23" s="4">
        <v>61986</v>
      </c>
      <c r="L23" s="4">
        <v>2020</v>
      </c>
      <c r="M23" s="4">
        <v>0</v>
      </c>
      <c r="N23" s="4">
        <v>0</v>
      </c>
      <c r="O23" s="4">
        <v>0</v>
      </c>
      <c r="P23" s="4">
        <f t="shared" si="2"/>
        <v>2074372</v>
      </c>
      <c r="Q23" s="15"/>
      <c r="R23" s="15"/>
      <c r="S23" s="15"/>
      <c r="T23" s="12"/>
      <c r="U23" s="12"/>
      <c r="V23" s="12"/>
      <c r="W23" s="12"/>
      <c r="X23" s="12"/>
      <c r="Y23" s="12"/>
      <c r="Z23" s="12"/>
      <c r="AA23" s="12"/>
      <c r="AB23" s="12"/>
    </row>
    <row r="24" spans="1:262" ht="30" customHeight="1" thickBot="1" x14ac:dyDescent="0.3">
      <c r="A24" s="6" t="s">
        <v>14</v>
      </c>
      <c r="B24" s="23">
        <f t="shared" ref="B24:P24" si="3">SUM(B16:B23)</f>
        <v>4053135.5036313245</v>
      </c>
      <c r="C24" s="23">
        <f t="shared" si="3"/>
        <v>6769768.6208679229</v>
      </c>
      <c r="D24" s="23">
        <f t="shared" si="3"/>
        <v>17188097.099621564</v>
      </c>
      <c r="E24" s="23">
        <f t="shared" si="3"/>
        <v>15153417.081772784</v>
      </c>
      <c r="F24" s="23">
        <f t="shared" si="3"/>
        <v>5975338.5513302553</v>
      </c>
      <c r="G24" s="23">
        <f t="shared" si="3"/>
        <v>7755344.9629863072</v>
      </c>
      <c r="H24" s="23">
        <f t="shared" si="3"/>
        <v>35631724.356230952</v>
      </c>
      <c r="I24" s="23">
        <f t="shared" si="3"/>
        <v>17505007.694154974</v>
      </c>
      <c r="J24" s="23">
        <f t="shared" si="3"/>
        <v>21447602.36695081</v>
      </c>
      <c r="K24" s="23">
        <f t="shared" si="3"/>
        <v>13071524.685690016</v>
      </c>
      <c r="L24" s="23">
        <f t="shared" si="3"/>
        <v>1747511.9605246771</v>
      </c>
      <c r="M24" s="23">
        <f t="shared" si="3"/>
        <v>736008</v>
      </c>
      <c r="N24" s="23">
        <f t="shared" si="3"/>
        <v>13608.664438340711</v>
      </c>
      <c r="O24" s="23">
        <f t="shared" si="3"/>
        <v>144328</v>
      </c>
      <c r="P24" s="23">
        <f t="shared" si="3"/>
        <v>147192417.54819992</v>
      </c>
      <c r="Q24" s="15"/>
      <c r="R24" s="15"/>
      <c r="S24" s="15"/>
      <c r="T24" s="12"/>
      <c r="U24" s="12"/>
      <c r="V24" s="12"/>
      <c r="W24" s="12"/>
      <c r="X24" s="12"/>
      <c r="Y24" s="12"/>
      <c r="Z24" s="12"/>
      <c r="AA24" s="12"/>
      <c r="AB24" s="12"/>
    </row>
    <row r="25" spans="1:262" s="29" customFormat="1" ht="15.75" thickTop="1" x14ac:dyDescent="0.2">
      <c r="A25" s="25"/>
      <c r="B25" s="26"/>
      <c r="C25" s="26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17"/>
      <c r="R25" s="17"/>
      <c r="S25" s="17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</row>
    <row r="26" spans="1:262" s="24" customForma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0"/>
      <c r="N26" s="20"/>
      <c r="O26" s="21"/>
      <c r="P26" s="20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</row>
    <row r="27" spans="1:262" ht="27" thickBot="1" x14ac:dyDescent="0.45">
      <c r="A27" s="37" t="s">
        <v>28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62" ht="45.75" customHeight="1" thickBot="1" x14ac:dyDescent="0.3">
      <c r="A28" s="1" t="s">
        <v>25</v>
      </c>
      <c r="B28" s="1" t="s">
        <v>0</v>
      </c>
      <c r="C28" s="1" t="s">
        <v>1</v>
      </c>
      <c r="D28" s="1" t="s">
        <v>2</v>
      </c>
      <c r="E28" s="1" t="s">
        <v>3</v>
      </c>
      <c r="F28" s="1" t="s">
        <v>4</v>
      </c>
      <c r="G28" s="1" t="s">
        <v>5</v>
      </c>
      <c r="H28" s="1" t="s">
        <v>6</v>
      </c>
      <c r="I28" s="1" t="s">
        <v>7</v>
      </c>
      <c r="J28" s="1" t="s">
        <v>8</v>
      </c>
      <c r="K28" s="1" t="s">
        <v>9</v>
      </c>
      <c r="L28" s="1" t="s">
        <v>10</v>
      </c>
      <c r="M28" s="1" t="s">
        <v>11</v>
      </c>
      <c r="N28" s="1" t="s">
        <v>12</v>
      </c>
      <c r="O28" s="1" t="s">
        <v>13</v>
      </c>
      <c r="P28" s="1" t="s">
        <v>14</v>
      </c>
      <c r="Q28" s="14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62" ht="30" customHeight="1" thickBot="1" x14ac:dyDescent="0.3">
      <c r="A29" s="2" t="s">
        <v>15</v>
      </c>
      <c r="B29" s="7">
        <f t="shared" ref="B29:O29" si="4">B3-B16</f>
        <v>28417.363256679935</v>
      </c>
      <c r="C29" s="7">
        <f t="shared" si="4"/>
        <v>85175.631671919313</v>
      </c>
      <c r="D29" s="7">
        <f t="shared" si="4"/>
        <v>222093.11746849003</v>
      </c>
      <c r="E29" s="7">
        <f t="shared" si="4"/>
        <v>33904.142714240123</v>
      </c>
      <c r="F29" s="7">
        <f t="shared" si="4"/>
        <v>-20320.400000000023</v>
      </c>
      <c r="G29" s="7">
        <f t="shared" si="4"/>
        <v>13003.0734877676</v>
      </c>
      <c r="H29" s="7">
        <f t="shared" si="4"/>
        <v>308587.59345009923</v>
      </c>
      <c r="I29" s="7">
        <f t="shared" si="4"/>
        <v>32643.400000000023</v>
      </c>
      <c r="J29" s="7">
        <f t="shared" si="4"/>
        <v>69103.83808543859</v>
      </c>
      <c r="K29" s="7">
        <f t="shared" si="4"/>
        <v>-3217.5452656323905</v>
      </c>
      <c r="L29" s="7">
        <f t="shared" si="4"/>
        <v>8365</v>
      </c>
      <c r="M29" s="7">
        <f t="shared" si="4"/>
        <v>0</v>
      </c>
      <c r="N29" s="7">
        <f t="shared" si="4"/>
        <v>0</v>
      </c>
      <c r="O29" s="7">
        <f t="shared" si="4"/>
        <v>-129919.50852769458</v>
      </c>
      <c r="P29" s="7">
        <f>SUM(B29:O29)</f>
        <v>647835.70634130773</v>
      </c>
      <c r="Q29" s="19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62" ht="30" customHeight="1" thickBot="1" x14ac:dyDescent="0.3">
      <c r="A30" s="2" t="s">
        <v>16</v>
      </c>
      <c r="B30" s="7">
        <f t="shared" ref="B30:O30" si="5">B4-B17</f>
        <v>176263.18568660086</v>
      </c>
      <c r="C30" s="7">
        <f t="shared" si="5"/>
        <v>92574.528126454912</v>
      </c>
      <c r="D30" s="7">
        <f t="shared" si="5"/>
        <v>630461.07065911964</v>
      </c>
      <c r="E30" s="7">
        <f t="shared" si="5"/>
        <v>468475.14778656606</v>
      </c>
      <c r="F30" s="7">
        <f t="shared" si="5"/>
        <v>256415.70988597628</v>
      </c>
      <c r="G30" s="7">
        <f t="shared" si="5"/>
        <v>224576.23342202976</v>
      </c>
      <c r="H30" s="7">
        <f t="shared" si="5"/>
        <v>1177388.0483455919</v>
      </c>
      <c r="I30" s="7">
        <f t="shared" si="5"/>
        <v>649832.03604631871</v>
      </c>
      <c r="J30" s="7">
        <f t="shared" si="5"/>
        <v>164231.51083636656</v>
      </c>
      <c r="K30" s="7">
        <f t="shared" si="5"/>
        <v>104722.68875906523</v>
      </c>
      <c r="L30" s="7">
        <f t="shared" si="5"/>
        <v>231429</v>
      </c>
      <c r="M30" s="7">
        <f t="shared" si="5"/>
        <v>56624.495696279337</v>
      </c>
      <c r="N30" s="7">
        <f t="shared" si="5"/>
        <v>0</v>
      </c>
      <c r="O30" s="7">
        <f t="shared" si="5"/>
        <v>0</v>
      </c>
      <c r="P30" s="7">
        <f t="shared" ref="P30:P36" si="6">SUM(B30:O30)</f>
        <v>4232993.6552503696</v>
      </c>
      <c r="Q30" s="19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62" ht="30" customHeight="1" thickBot="1" x14ac:dyDescent="0.3">
      <c r="A31" s="2" t="s">
        <v>17</v>
      </c>
      <c r="B31" s="7">
        <f t="shared" ref="B31:O31" si="7">B5-B18</f>
        <v>668.06944120000117</v>
      </c>
      <c r="C31" s="7">
        <f t="shared" si="7"/>
        <v>201436.78536650003</v>
      </c>
      <c r="D31" s="7">
        <f t="shared" si="7"/>
        <v>38417.139110000047</v>
      </c>
      <c r="E31" s="7">
        <f t="shared" si="7"/>
        <v>124731.66281220014</v>
      </c>
      <c r="F31" s="7">
        <f t="shared" si="7"/>
        <v>0</v>
      </c>
      <c r="G31" s="7">
        <f t="shared" si="7"/>
        <v>110695.81967270048</v>
      </c>
      <c r="H31" s="7">
        <f t="shared" si="7"/>
        <v>96081.861483100103</v>
      </c>
      <c r="I31" s="7">
        <f t="shared" si="7"/>
        <v>4491.8583487000142</v>
      </c>
      <c r="J31" s="7">
        <f t="shared" si="7"/>
        <v>21516.136087202001</v>
      </c>
      <c r="K31" s="7">
        <f t="shared" si="7"/>
        <v>-19851.665662600004</v>
      </c>
      <c r="L31" s="7">
        <f t="shared" si="7"/>
        <v>0</v>
      </c>
      <c r="M31" s="7">
        <f t="shared" si="7"/>
        <v>0</v>
      </c>
      <c r="N31" s="7">
        <f t="shared" si="7"/>
        <v>0</v>
      </c>
      <c r="O31" s="7">
        <f t="shared" si="7"/>
        <v>0</v>
      </c>
      <c r="P31" s="7">
        <f t="shared" si="6"/>
        <v>578187.66665900289</v>
      </c>
      <c r="Q31" s="19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62" ht="30" customHeight="1" thickBot="1" x14ac:dyDescent="0.3">
      <c r="A32" s="2" t="s">
        <v>18</v>
      </c>
      <c r="B32" s="7">
        <f t="shared" ref="B32:O32" si="8">B6-B19</f>
        <v>7166</v>
      </c>
      <c r="C32" s="7">
        <f t="shared" si="8"/>
        <v>-27416</v>
      </c>
      <c r="D32" s="7">
        <f t="shared" si="8"/>
        <v>106992</v>
      </c>
      <c r="E32" s="7">
        <f t="shared" si="8"/>
        <v>8578</v>
      </c>
      <c r="F32" s="7">
        <f t="shared" si="8"/>
        <v>-760</v>
      </c>
      <c r="G32" s="7">
        <f t="shared" si="8"/>
        <v>-9782</v>
      </c>
      <c r="H32" s="7">
        <f t="shared" si="8"/>
        <v>-48519</v>
      </c>
      <c r="I32" s="7">
        <f t="shared" si="8"/>
        <v>-3287</v>
      </c>
      <c r="J32" s="7">
        <f t="shared" si="8"/>
        <v>2224</v>
      </c>
      <c r="K32" s="7">
        <f t="shared" si="8"/>
        <v>572</v>
      </c>
      <c r="L32" s="7">
        <f t="shared" si="8"/>
        <v>-1600</v>
      </c>
      <c r="M32" s="7">
        <f t="shared" si="8"/>
        <v>0</v>
      </c>
      <c r="N32" s="7">
        <f t="shared" si="8"/>
        <v>0</v>
      </c>
      <c r="O32" s="7">
        <f t="shared" si="8"/>
        <v>0</v>
      </c>
      <c r="P32" s="7">
        <f t="shared" si="6"/>
        <v>34168</v>
      </c>
      <c r="Q32" s="19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62" ht="30" customHeight="1" thickBot="1" x14ac:dyDescent="0.3">
      <c r="A33" s="2" t="s">
        <v>19</v>
      </c>
      <c r="B33" s="7">
        <f t="shared" ref="B33:O33" si="9">B7-B20</f>
        <v>81990.13774214359</v>
      </c>
      <c r="C33" s="7">
        <f t="shared" si="9"/>
        <v>303564.0363779827</v>
      </c>
      <c r="D33" s="7">
        <f t="shared" si="9"/>
        <v>97899.637666238472</v>
      </c>
      <c r="E33" s="7">
        <f t="shared" si="9"/>
        <v>342027.70445368532</v>
      </c>
      <c r="F33" s="7">
        <f t="shared" si="9"/>
        <v>37303.65634899959</v>
      </c>
      <c r="G33" s="7">
        <f t="shared" si="9"/>
        <v>144703.11102568777</v>
      </c>
      <c r="H33" s="7">
        <f t="shared" si="9"/>
        <v>388497.15264397301</v>
      </c>
      <c r="I33" s="7">
        <f t="shared" si="9"/>
        <v>202784.29020717554</v>
      </c>
      <c r="J33" s="7">
        <f t="shared" si="9"/>
        <v>643538.24441213906</v>
      </c>
      <c r="K33" s="7">
        <f t="shared" si="9"/>
        <v>667734.96126783639</v>
      </c>
      <c r="L33" s="7">
        <f t="shared" si="9"/>
        <v>1196967.28099769</v>
      </c>
      <c r="M33" s="7">
        <f t="shared" si="9"/>
        <v>0</v>
      </c>
      <c r="N33" s="7">
        <f t="shared" si="9"/>
        <v>752.35299917260272</v>
      </c>
      <c r="O33" s="7">
        <f t="shared" si="9"/>
        <v>0</v>
      </c>
      <c r="P33" s="7">
        <f t="shared" si="6"/>
        <v>4107762.5661427244</v>
      </c>
      <c r="Q33" s="19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62" ht="30" customHeight="1" thickBot="1" x14ac:dyDescent="0.3">
      <c r="A34" s="2" t="s">
        <v>20</v>
      </c>
      <c r="B34" s="7">
        <f t="shared" ref="B34:O34" si="10">B8-B21</f>
        <v>-2926.3144800959781</v>
      </c>
      <c r="C34" s="7">
        <f t="shared" si="10"/>
        <v>6063.2671299625363</v>
      </c>
      <c r="D34" s="7">
        <f t="shared" si="10"/>
        <v>108610.94509141438</v>
      </c>
      <c r="E34" s="7">
        <f t="shared" si="10"/>
        <v>-134141.85224204243</v>
      </c>
      <c r="F34" s="7">
        <f t="shared" si="10"/>
        <v>2147.4950406566932</v>
      </c>
      <c r="G34" s="7">
        <f t="shared" si="10"/>
        <v>3059.6483780152375</v>
      </c>
      <c r="H34" s="7">
        <f t="shared" si="10"/>
        <v>415284.24991453299</v>
      </c>
      <c r="I34" s="7">
        <f t="shared" si="10"/>
        <v>-65733.62</v>
      </c>
      <c r="J34" s="7">
        <f t="shared" si="10"/>
        <v>61317.521095659031</v>
      </c>
      <c r="K34" s="7">
        <f t="shared" si="10"/>
        <v>-12283.201936275873</v>
      </c>
      <c r="L34" s="7">
        <f t="shared" si="10"/>
        <v>0</v>
      </c>
      <c r="M34" s="7">
        <f t="shared" si="10"/>
        <v>0</v>
      </c>
      <c r="N34" s="7">
        <f t="shared" si="10"/>
        <v>52.898014544933261</v>
      </c>
      <c r="O34" s="7">
        <f t="shared" si="10"/>
        <v>0</v>
      </c>
      <c r="P34" s="7">
        <f t="shared" si="6"/>
        <v>381451.03600637149</v>
      </c>
      <c r="Q34" s="19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62" ht="30" customHeight="1" thickBot="1" x14ac:dyDescent="0.3">
      <c r="A35" s="2" t="s">
        <v>21</v>
      </c>
      <c r="B35" s="7">
        <f t="shared" ref="B35:O35" si="11">B9-B22</f>
        <v>-8286.8046113825112</v>
      </c>
      <c r="C35" s="7">
        <f t="shared" si="11"/>
        <v>-105900.71589328173</v>
      </c>
      <c r="D35" s="7">
        <f t="shared" si="11"/>
        <v>23697.200926969352</v>
      </c>
      <c r="E35" s="7">
        <f t="shared" si="11"/>
        <v>-1567.7828169109416</v>
      </c>
      <c r="F35" s="7">
        <f t="shared" si="11"/>
        <v>47204.15308126132</v>
      </c>
      <c r="G35" s="7">
        <f t="shared" si="11"/>
        <v>23388.498207089229</v>
      </c>
      <c r="H35" s="7">
        <f t="shared" si="11"/>
        <v>97972.403303458937</v>
      </c>
      <c r="I35" s="7">
        <f t="shared" si="11"/>
        <v>2316.844872195079</v>
      </c>
      <c r="J35" s="7">
        <f t="shared" si="11"/>
        <v>5529.306672077495</v>
      </c>
      <c r="K35" s="7">
        <f t="shared" si="11"/>
        <v>15297.455386328285</v>
      </c>
      <c r="L35" s="7">
        <f t="shared" si="11"/>
        <v>107820.50341619509</v>
      </c>
      <c r="M35" s="7">
        <f t="shared" si="11"/>
        <v>0</v>
      </c>
      <c r="N35" s="7">
        <f t="shared" si="11"/>
        <v>0</v>
      </c>
      <c r="O35" s="7">
        <f t="shared" si="11"/>
        <v>0</v>
      </c>
      <c r="P35" s="7">
        <f t="shared" si="6"/>
        <v>207471.06254399964</v>
      </c>
      <c r="Q35" s="19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62" ht="30" customHeight="1" thickBot="1" x14ac:dyDescent="0.3">
      <c r="A36" s="2" t="s">
        <v>22</v>
      </c>
      <c r="B36" s="7">
        <f t="shared" ref="B36:O36" si="12">B10-B23</f>
        <v>29751.286848178017</v>
      </c>
      <c r="C36" s="7">
        <f t="shared" si="12"/>
        <v>-20378.093370192066</v>
      </c>
      <c r="D36" s="7">
        <f t="shared" si="12"/>
        <v>-24422.3508127362</v>
      </c>
      <c r="E36" s="7">
        <f t="shared" si="12"/>
        <v>54887.279564487981</v>
      </c>
      <c r="F36" s="7">
        <f t="shared" si="12"/>
        <v>-14272.70464928115</v>
      </c>
      <c r="G36" s="7">
        <f t="shared" si="12"/>
        <v>-3233.844975313601</v>
      </c>
      <c r="H36" s="7">
        <f t="shared" si="12"/>
        <v>-22631.754043294466</v>
      </c>
      <c r="I36" s="7">
        <f t="shared" si="12"/>
        <v>5212.1539583716149</v>
      </c>
      <c r="J36" s="7">
        <f t="shared" si="12"/>
        <v>20718.900116617413</v>
      </c>
      <c r="K36" s="7">
        <f t="shared" si="12"/>
        <v>-1734.8726368377393</v>
      </c>
      <c r="L36" s="7">
        <f t="shared" si="12"/>
        <v>-404</v>
      </c>
      <c r="M36" s="7">
        <f t="shared" si="12"/>
        <v>0</v>
      </c>
      <c r="N36" s="7">
        <f t="shared" si="12"/>
        <v>0</v>
      </c>
      <c r="O36" s="7">
        <f t="shared" si="12"/>
        <v>0</v>
      </c>
      <c r="P36" s="7">
        <f t="shared" si="6"/>
        <v>23491.999999999804</v>
      </c>
      <c r="Q36" s="19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62" ht="30" customHeight="1" thickBot="1" x14ac:dyDescent="0.3">
      <c r="A37" s="6" t="s">
        <v>14</v>
      </c>
      <c r="B37" s="23">
        <f t="shared" ref="B37:P37" si="13">SUM(B29:B36)</f>
        <v>313042.92388332391</v>
      </c>
      <c r="C37" s="23">
        <f t="shared" si="13"/>
        <v>535119.43940934562</v>
      </c>
      <c r="D37" s="23">
        <f t="shared" si="13"/>
        <v>1203748.7601094956</v>
      </c>
      <c r="E37" s="23">
        <f t="shared" si="13"/>
        <v>896894.3022722262</v>
      </c>
      <c r="F37" s="23">
        <f t="shared" si="13"/>
        <v>307717.90970761271</v>
      </c>
      <c r="G37" s="23">
        <f t="shared" si="13"/>
        <v>506410.53921797656</v>
      </c>
      <c r="H37" s="23">
        <f t="shared" si="13"/>
        <v>2412660.5550974617</v>
      </c>
      <c r="I37" s="23">
        <f t="shared" si="13"/>
        <v>828259.96343276091</v>
      </c>
      <c r="J37" s="23">
        <f t="shared" si="13"/>
        <v>988179.45730550017</v>
      </c>
      <c r="K37" s="23">
        <f t="shared" si="13"/>
        <v>751239.81991188379</v>
      </c>
      <c r="L37" s="23">
        <f t="shared" si="13"/>
        <v>1542577.7844138851</v>
      </c>
      <c r="M37" s="23">
        <f t="shared" si="13"/>
        <v>56624.495696279337</v>
      </c>
      <c r="N37" s="23">
        <f t="shared" si="13"/>
        <v>805.25101371753601</v>
      </c>
      <c r="O37" s="31">
        <f t="shared" si="13"/>
        <v>-129919.50852769458</v>
      </c>
      <c r="P37" s="23">
        <f t="shared" si="13"/>
        <v>10213361.692943774</v>
      </c>
      <c r="Q37" s="15"/>
      <c r="R37" s="15"/>
      <c r="S37" s="15"/>
      <c r="T37" s="12"/>
      <c r="U37" s="12"/>
      <c r="V37" s="12"/>
      <c r="W37" s="12"/>
      <c r="X37" s="12"/>
      <c r="Y37" s="12"/>
      <c r="Z37" s="12"/>
      <c r="AA37" s="12"/>
      <c r="AB37" s="12"/>
    </row>
    <row r="38" spans="1:262" s="24" customFormat="1" ht="15.75" thickTop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1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</row>
    <row r="39" spans="1:262" s="24" customForma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</row>
    <row r="40" spans="1:262" ht="27" thickBot="1" x14ac:dyDescent="0.45">
      <c r="A40" s="37" t="s">
        <v>28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62" ht="46.5" customHeight="1" thickBot="1" x14ac:dyDescent="0.3">
      <c r="A41" s="1" t="s">
        <v>25</v>
      </c>
      <c r="B41" s="1" t="s">
        <v>0</v>
      </c>
      <c r="C41" s="1" t="s">
        <v>1</v>
      </c>
      <c r="D41" s="1" t="s">
        <v>2</v>
      </c>
      <c r="E41" s="1" t="s">
        <v>3</v>
      </c>
      <c r="F41" s="1" t="s">
        <v>4</v>
      </c>
      <c r="G41" s="1" t="s">
        <v>5</v>
      </c>
      <c r="H41" s="1" t="s">
        <v>6</v>
      </c>
      <c r="I41" s="1" t="s">
        <v>7</v>
      </c>
      <c r="J41" s="1" t="s">
        <v>8</v>
      </c>
      <c r="K41" s="1" t="s">
        <v>9</v>
      </c>
      <c r="L41" s="1" t="s">
        <v>10</v>
      </c>
      <c r="M41" s="1" t="s">
        <v>11</v>
      </c>
      <c r="N41" s="1" t="s">
        <v>12</v>
      </c>
      <c r="O41" s="1" t="s">
        <v>13</v>
      </c>
      <c r="P41" s="1" t="s">
        <v>14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62" ht="30" customHeight="1" thickBot="1" x14ac:dyDescent="0.3">
      <c r="A42" s="2" t="s">
        <v>15</v>
      </c>
      <c r="B42" s="5">
        <f t="shared" ref="B42:O42" si="14">IFERROR(B29/B16,"")</f>
        <v>0.20233081706429287</v>
      </c>
      <c r="C42" s="5">
        <f t="shared" si="14"/>
        <v>0.39222523333910164</v>
      </c>
      <c r="D42" s="5">
        <f t="shared" si="14"/>
        <v>0.24467948029447281</v>
      </c>
      <c r="E42" s="5">
        <f t="shared" si="14"/>
        <v>5.0073095888216422E-2</v>
      </c>
      <c r="F42" s="5">
        <f t="shared" si="14"/>
        <v>-8.818584627669511E-2</v>
      </c>
      <c r="G42" s="5">
        <f t="shared" si="14"/>
        <v>6.2736768024199085E-2</v>
      </c>
      <c r="H42" s="5">
        <f t="shared" si="14"/>
        <v>0.1780333923821602</v>
      </c>
      <c r="I42" s="5">
        <f t="shared" si="14"/>
        <v>9.7981444295366552E-2</v>
      </c>
      <c r="J42" s="5">
        <f t="shared" si="14"/>
        <v>0.25941631974171903</v>
      </c>
      <c r="K42" s="5">
        <f t="shared" si="14"/>
        <v>-2.5471384306779532E-2</v>
      </c>
      <c r="L42" s="5">
        <f t="shared" si="14"/>
        <v>0.16859141020214846</v>
      </c>
      <c r="M42" s="5">
        <v>0</v>
      </c>
      <c r="N42" s="5">
        <v>0</v>
      </c>
      <c r="O42" s="5">
        <f t="shared" si="14"/>
        <v>-0.90016842558404864</v>
      </c>
      <c r="P42" s="5">
        <f t="shared" ref="P42:P50" si="15">P29/P16</f>
        <v>0.12871241361441366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62" ht="30" customHeight="1" thickBot="1" x14ac:dyDescent="0.3">
      <c r="A43" s="2" t="s">
        <v>16</v>
      </c>
      <c r="B43" s="5">
        <f t="shared" ref="B43:M43" si="16">IFERROR(B30/B17,"")</f>
        <v>0.16957383696596737</v>
      </c>
      <c r="C43" s="5">
        <f t="shared" si="16"/>
        <v>3.2935857779859239E-2</v>
      </c>
      <c r="D43" s="5">
        <f t="shared" si="16"/>
        <v>6.9014584996859363E-2</v>
      </c>
      <c r="E43" s="5">
        <f t="shared" si="16"/>
        <v>6.2187580141153526E-2</v>
      </c>
      <c r="F43" s="5">
        <f t="shared" si="16"/>
        <v>6.7140771717026912E-2</v>
      </c>
      <c r="G43" s="5">
        <f t="shared" si="16"/>
        <v>7.4193623371690512E-2</v>
      </c>
      <c r="H43" s="5">
        <f t="shared" si="16"/>
        <v>6.2714711023380443E-2</v>
      </c>
      <c r="I43" s="5">
        <f t="shared" si="16"/>
        <v>8.3742493579326532E-2</v>
      </c>
      <c r="J43" s="5">
        <f t="shared" si="16"/>
        <v>3.0608639231100195E-2</v>
      </c>
      <c r="K43" s="5">
        <f t="shared" si="16"/>
        <v>8.3693854556942435E-2</v>
      </c>
      <c r="L43" s="5">
        <f t="shared" si="16"/>
        <v>0.61441925540868092</v>
      </c>
      <c r="M43" s="5">
        <f t="shared" si="16"/>
        <v>7.6934619863207113E-2</v>
      </c>
      <c r="N43" s="5">
        <v>0</v>
      </c>
      <c r="O43" s="5">
        <v>0</v>
      </c>
      <c r="P43" s="5">
        <f t="shared" si="15"/>
        <v>6.8686575146582607E-2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62" ht="30" customHeight="1" thickBot="1" x14ac:dyDescent="0.3">
      <c r="A44" s="2" t="s">
        <v>17</v>
      </c>
      <c r="B44" s="5">
        <f t="shared" ref="B44:K44" si="17">IFERROR(B31/B18,"")</f>
        <v>6.5794368784408072E-3</v>
      </c>
      <c r="C44" s="5">
        <f t="shared" si="17"/>
        <v>0.20293403265946153</v>
      </c>
      <c r="D44" s="5">
        <f t="shared" si="17"/>
        <v>0.14187112146357514</v>
      </c>
      <c r="E44" s="5">
        <f t="shared" si="17"/>
        <v>0.19182079352773029</v>
      </c>
      <c r="F44" s="5" t="str">
        <f t="shared" si="17"/>
        <v/>
      </c>
      <c r="G44" s="5">
        <f t="shared" si="17"/>
        <v>6.2491289092515716E-2</v>
      </c>
      <c r="H44" s="5">
        <f t="shared" si="17"/>
        <v>0.29180974872016846</v>
      </c>
      <c r="I44" s="5">
        <f t="shared" si="17"/>
        <v>2.9966699013976545E-2</v>
      </c>
      <c r="J44" s="5">
        <f t="shared" si="17"/>
        <v>6.3740824760060979E-3</v>
      </c>
      <c r="K44" s="5">
        <f t="shared" si="17"/>
        <v>-0.22297225337631418</v>
      </c>
      <c r="L44" s="5">
        <v>0</v>
      </c>
      <c r="M44" s="5">
        <v>0</v>
      </c>
      <c r="N44" s="5">
        <v>0</v>
      </c>
      <c r="O44" s="5">
        <v>0</v>
      </c>
      <c r="P44" s="5">
        <f t="shared" si="15"/>
        <v>7.479463591996556E-2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1:262" ht="30" customHeight="1" thickBot="1" x14ac:dyDescent="0.3">
      <c r="A45" s="2" t="s">
        <v>18</v>
      </c>
      <c r="B45" s="5">
        <f t="shared" ref="B45:L45" si="18">IFERROR(B32/B19,"")</f>
        <v>0.8694491628245572</v>
      </c>
      <c r="C45" s="5">
        <f t="shared" si="18"/>
        <v>-0.50265850170510795</v>
      </c>
      <c r="D45" s="5">
        <f t="shared" si="18"/>
        <v>0.17246676542604894</v>
      </c>
      <c r="E45" s="5">
        <f t="shared" si="18"/>
        <v>1.0616336633663366</v>
      </c>
      <c r="F45" s="5">
        <f t="shared" si="18"/>
        <v>-2.4611398963730571E-2</v>
      </c>
      <c r="G45" s="5">
        <f t="shared" si="18"/>
        <v>-0.18509688162276719</v>
      </c>
      <c r="H45" s="5">
        <f t="shared" si="18"/>
        <v>-0.12569623991585535</v>
      </c>
      <c r="I45" s="5">
        <f t="shared" si="18"/>
        <v>-0.59752772223232142</v>
      </c>
      <c r="J45" s="5">
        <f t="shared" si="18"/>
        <v>3.9928186714542191</v>
      </c>
      <c r="K45" s="5">
        <f t="shared" si="18"/>
        <v>9.9637681159420281E-3</v>
      </c>
      <c r="L45" s="5">
        <f t="shared" si="18"/>
        <v>-0.4247411733474914</v>
      </c>
      <c r="M45" s="5">
        <v>0</v>
      </c>
      <c r="N45" s="5">
        <v>0</v>
      </c>
      <c r="O45" s="5">
        <v>0</v>
      </c>
      <c r="P45" s="5">
        <f t="shared" si="15"/>
        <v>2.7819799868098585E-2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62" ht="30" customHeight="1" thickBot="1" x14ac:dyDescent="0.3">
      <c r="A46" s="2" t="s">
        <v>19</v>
      </c>
      <c r="B46" s="5">
        <f t="shared" ref="B46:N46" si="19">IFERROR(B33/B20,"")</f>
        <v>3.6620051068778421E-2</v>
      </c>
      <c r="C46" s="5">
        <f t="shared" si="19"/>
        <v>0.12763207075144306</v>
      </c>
      <c r="D46" s="5">
        <f t="shared" si="19"/>
        <v>1.9052832559582362E-2</v>
      </c>
      <c r="E46" s="5">
        <f t="shared" si="19"/>
        <v>6.634845756875099E-2</v>
      </c>
      <c r="F46" s="5">
        <f t="shared" si="19"/>
        <v>2.6580293850480132E-2</v>
      </c>
      <c r="G46" s="5">
        <f t="shared" si="19"/>
        <v>5.7038598025648854E-2</v>
      </c>
      <c r="H46" s="5">
        <f t="shared" si="19"/>
        <v>3.5237687991834653E-2</v>
      </c>
      <c r="I46" s="5">
        <f t="shared" si="19"/>
        <v>2.3509536360222936E-2</v>
      </c>
      <c r="J46" s="5">
        <f t="shared" si="19"/>
        <v>5.3718700129010553E-2</v>
      </c>
      <c r="K46" s="5">
        <f t="shared" si="19"/>
        <v>5.9929518658379567E-2</v>
      </c>
      <c r="L46" s="5">
        <f t="shared" si="19"/>
        <v>0.91429479524414126</v>
      </c>
      <c r="M46" s="5">
        <v>0</v>
      </c>
      <c r="N46" s="5">
        <f t="shared" si="19"/>
        <v>5.5284851983927401E-2</v>
      </c>
      <c r="O46" s="5">
        <v>0</v>
      </c>
      <c r="P46" s="5">
        <f t="shared" si="15"/>
        <v>6.52581925377166E-2</v>
      </c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62" ht="30" customHeight="1" thickBot="1" x14ac:dyDescent="0.3">
      <c r="A47" s="2" t="s">
        <v>20</v>
      </c>
      <c r="B47" s="5">
        <f t="shared" ref="B47:K47" si="20">IFERROR(B34/B21,"")</f>
        <v>-5.4859075716486724E-2</v>
      </c>
      <c r="C47" s="5">
        <f t="shared" si="20"/>
        <v>8.3591016728994869E-2</v>
      </c>
      <c r="D47" s="5">
        <f t="shared" si="20"/>
        <v>0.19173138311479287</v>
      </c>
      <c r="E47" s="5">
        <f t="shared" si="20"/>
        <v>-0.2021841025308462</v>
      </c>
      <c r="F47" s="5">
        <f t="shared" si="20"/>
        <v>1.8224323927191231E-2</v>
      </c>
      <c r="G47" s="5">
        <f t="shared" si="20"/>
        <v>0.13245347000270141</v>
      </c>
      <c r="H47" s="5">
        <f t="shared" si="20"/>
        <v>0.17943279980432209</v>
      </c>
      <c r="I47" s="5">
        <f t="shared" si="20"/>
        <v>-0.11116792000057635</v>
      </c>
      <c r="J47" s="5">
        <f t="shared" si="20"/>
        <v>0.3567612277561461</v>
      </c>
      <c r="K47" s="5">
        <f t="shared" si="20"/>
        <v>-3.9127539861182732E-2</v>
      </c>
      <c r="L47" s="5">
        <v>0</v>
      </c>
      <c r="M47" s="5">
        <v>0</v>
      </c>
      <c r="N47" s="5">
        <v>0</v>
      </c>
      <c r="O47" s="5">
        <v>0</v>
      </c>
      <c r="P47" s="5">
        <f t="shared" si="15"/>
        <v>7.8033789979442963E-2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262" ht="30" customHeight="1" thickBot="1" x14ac:dyDescent="0.3">
      <c r="A48" s="2" t="s">
        <v>21</v>
      </c>
      <c r="B48" s="5">
        <f t="shared" ref="B48:L48" si="21">IFERROR(B35/B22,"")</f>
        <v>-6.4944118773521034E-2</v>
      </c>
      <c r="C48" s="5">
        <f t="shared" si="21"/>
        <v>-0.56383552455666386</v>
      </c>
      <c r="D48" s="5">
        <f t="shared" si="21"/>
        <v>0.17260815452781617</v>
      </c>
      <c r="E48" s="5">
        <f t="shared" si="21"/>
        <v>-2.0434592645016313E-2</v>
      </c>
      <c r="F48" s="5">
        <f t="shared" si="21"/>
        <v>0.17501104133998213</v>
      </c>
      <c r="G48" s="5">
        <f t="shared" si="21"/>
        <v>0.29068117730439874</v>
      </c>
      <c r="H48" s="5">
        <f t="shared" si="21"/>
        <v>0.15508588052405131</v>
      </c>
      <c r="I48" s="5">
        <f t="shared" si="21"/>
        <v>0.36921830632590902</v>
      </c>
      <c r="J48" s="5">
        <f t="shared" si="21"/>
        <v>5.0006843314047041E-2</v>
      </c>
      <c r="K48" s="5">
        <f t="shared" si="21"/>
        <v>0.51701552610275403</v>
      </c>
      <c r="L48" s="5">
        <f t="shared" si="21"/>
        <v>17.182550345210373</v>
      </c>
      <c r="M48" s="5">
        <v>0</v>
      </c>
      <c r="N48" s="5">
        <v>0</v>
      </c>
      <c r="O48" s="5">
        <v>0</v>
      </c>
      <c r="P48" s="5">
        <f t="shared" si="15"/>
        <v>0.12467815781348289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ht="30" customHeight="1" thickBot="1" x14ac:dyDescent="0.3">
      <c r="A49" s="2" t="s">
        <v>22</v>
      </c>
      <c r="B49" s="5">
        <f t="shared" ref="B49:L49" si="22">IFERROR(B36/B23,"")</f>
        <v>8.659353399319511E-2</v>
      </c>
      <c r="C49" s="5">
        <f t="shared" si="22"/>
        <v>-0.36451289455669555</v>
      </c>
      <c r="D49" s="5">
        <f t="shared" si="22"/>
        <v>-5.9280284315869423E-2</v>
      </c>
      <c r="E49" s="5">
        <f t="shared" si="22"/>
        <v>0.14090750978619707</v>
      </c>
      <c r="F49" s="5">
        <f t="shared" si="22"/>
        <v>-0.13728374596528783</v>
      </c>
      <c r="G49" s="5">
        <f t="shared" si="22"/>
        <v>-5.7271672280414437E-2</v>
      </c>
      <c r="H49" s="5">
        <f t="shared" si="22"/>
        <v>-5.1643670417280615E-2</v>
      </c>
      <c r="I49" s="5">
        <f t="shared" si="22"/>
        <v>0.15616940699240794</v>
      </c>
      <c r="J49" s="5">
        <f t="shared" si="22"/>
        <v>0.1168282168463583</v>
      </c>
      <c r="K49" s="5">
        <f t="shared" si="22"/>
        <v>-2.7988136625007893E-2</v>
      </c>
      <c r="L49" s="5">
        <f t="shared" si="22"/>
        <v>-0.2</v>
      </c>
      <c r="M49" s="5">
        <v>0</v>
      </c>
      <c r="N49" s="5">
        <v>0</v>
      </c>
      <c r="O49" s="5">
        <v>0</v>
      </c>
      <c r="P49" s="5">
        <f t="shared" si="15"/>
        <v>1.1324873262847649E-2</v>
      </c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ht="30" customHeight="1" thickBot="1" x14ac:dyDescent="0.3">
      <c r="A50" s="6" t="s">
        <v>14</v>
      </c>
      <c r="B50" s="23">
        <f t="shared" ref="B50:K50" si="23">B37/B24</f>
        <v>7.7234754081836013E-2</v>
      </c>
      <c r="C50" s="23">
        <f t="shared" si="23"/>
        <v>7.9045454782580182E-2</v>
      </c>
      <c r="D50" s="23">
        <f t="shared" si="23"/>
        <v>7.0033858497110704E-2</v>
      </c>
      <c r="E50" s="23">
        <f t="shared" si="23"/>
        <v>5.9187594285321381E-2</v>
      </c>
      <c r="F50" s="23">
        <f t="shared" si="23"/>
        <v>5.1497987446938419E-2</v>
      </c>
      <c r="G50" s="23">
        <f t="shared" si="23"/>
        <v>6.5298260958720253E-2</v>
      </c>
      <c r="H50" s="23">
        <f t="shared" si="23"/>
        <v>6.771102433821892E-2</v>
      </c>
      <c r="I50" s="23">
        <f t="shared" si="23"/>
        <v>4.7315601221319191E-2</v>
      </c>
      <c r="J50" s="23">
        <f t="shared" si="23"/>
        <v>4.6074122430962844E-2</v>
      </c>
      <c r="K50" s="23">
        <f t="shared" si="23"/>
        <v>5.747147620310121E-2</v>
      </c>
      <c r="L50" s="23">
        <f>IFERROR(L37/L24,"")</f>
        <v>0.8827280266229125</v>
      </c>
      <c r="M50" s="23">
        <f>M37/M24</f>
        <v>7.6934619863207113E-2</v>
      </c>
      <c r="N50" s="23">
        <f>N37/N24</f>
        <v>5.9171935450832477E-2</v>
      </c>
      <c r="O50" s="32">
        <f>O37/O24</f>
        <v>-0.90016842558404864</v>
      </c>
      <c r="P50" s="23">
        <f t="shared" si="15"/>
        <v>6.9387824883026236E-2</v>
      </c>
      <c r="Q50" s="15"/>
      <c r="R50" s="15"/>
      <c r="S50" s="15"/>
      <c r="T50" s="12"/>
      <c r="U50" s="12"/>
      <c r="V50" s="12"/>
      <c r="W50" s="12"/>
      <c r="X50" s="12"/>
      <c r="Y50" s="12"/>
      <c r="Z50" s="12"/>
      <c r="AA50" s="12"/>
      <c r="AB50" s="12"/>
    </row>
    <row r="51" spans="1:28" ht="15.75" thickTop="1" x14ac:dyDescent="0.25"/>
  </sheetData>
  <mergeCells count="4">
    <mergeCell ref="A1:P1"/>
    <mergeCell ref="A14:P14"/>
    <mergeCell ref="A27:P27"/>
    <mergeCell ref="A40:P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Whedon</dc:creator>
  <cp:lastModifiedBy>Lisa Whedon</cp:lastModifiedBy>
  <dcterms:created xsi:type="dcterms:W3CDTF">2021-12-03T00:00:52Z</dcterms:created>
  <dcterms:modified xsi:type="dcterms:W3CDTF">2022-03-25T00:04:22Z</dcterms:modified>
</cp:coreProperties>
</file>