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mctighe\Desktop\"/>
    </mc:Choice>
  </mc:AlternateContent>
  <xr:revisionPtr revIDLastSave="0" documentId="8_{D262F7E9-8C58-4E21-A2D4-B3B0336A4926}" xr6:coauthVersionLast="47" xr6:coauthVersionMax="47" xr10:uidLastSave="{00000000-0000-0000-0000-000000000000}"/>
  <bookViews>
    <workbookView xWindow="-120" yWindow="-120" windowWidth="29040" windowHeight="15720" firstSheet="6" activeTab="4" xr2:uid="{00000000-000D-0000-FFFF-FFFF00000000}"/>
  </bookViews>
  <sheets>
    <sheet name="Fairview" sheetId="3" r:id="rId1"/>
    <sheet name="Gresham" sheetId="2" r:id="rId2"/>
    <sheet name="Maywood Park" sheetId="11" r:id="rId3"/>
    <sheet name="Portland" sheetId="5" r:id="rId4"/>
    <sheet name="Troutdale" sheetId="7" r:id="rId5"/>
    <sheet name="Wood Village" sheetId="8" r:id="rId6"/>
    <sheet name="Multnomah County"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5" l="1"/>
  <c r="I22" i="5"/>
  <c r="I23" i="5"/>
  <c r="I24" i="5"/>
  <c r="I25" i="5"/>
  <c r="I26" i="5"/>
  <c r="I27" i="5"/>
  <c r="I28" i="5"/>
  <c r="I29" i="5"/>
  <c r="I30" i="5"/>
  <c r="I31" i="5"/>
  <c r="I32" i="5"/>
  <c r="I33" i="5"/>
  <c r="I34" i="5"/>
  <c r="I35" i="5"/>
  <c r="I36" i="5"/>
  <c r="I37" i="5"/>
  <c r="I20" i="5"/>
  <c r="F14" i="3"/>
  <c r="F15" i="3"/>
  <c r="F16" i="3"/>
  <c r="F17" i="3"/>
  <c r="F18" i="3"/>
  <c r="F19" i="3"/>
  <c r="F20" i="3"/>
  <c r="F21" i="3"/>
  <c r="F22" i="3"/>
  <c r="F23" i="3"/>
  <c r="F24" i="3"/>
  <c r="F25" i="3"/>
  <c r="F26" i="3"/>
  <c r="F27" i="3"/>
  <c r="F28" i="3"/>
  <c r="F29" i="3"/>
  <c r="F30" i="3"/>
  <c r="F31" i="3"/>
  <c r="F32" i="3"/>
  <c r="F33" i="3"/>
  <c r="F34" i="3"/>
  <c r="F35" i="3"/>
  <c r="F36" i="3"/>
  <c r="F37" i="3"/>
  <c r="F13" i="3"/>
  <c r="F12" i="3"/>
  <c r="B11" i="3"/>
  <c r="B10" i="3"/>
  <c r="B21" i="3"/>
  <c r="B22" i="3"/>
  <c r="B23" i="3"/>
  <c r="B24" i="3"/>
  <c r="B25" i="3"/>
  <c r="B26" i="3"/>
  <c r="B27" i="3"/>
  <c r="B28" i="3"/>
  <c r="B29" i="3"/>
  <c r="B30" i="3"/>
  <c r="B31" i="3"/>
  <c r="B32" i="3"/>
  <c r="B33" i="3"/>
  <c r="B34" i="3"/>
  <c r="B35" i="3"/>
  <c r="B36" i="3"/>
  <c r="B37" i="3"/>
  <c r="B20" i="3"/>
  <c r="N15" i="9"/>
  <c r="N16" i="9" s="1"/>
  <c r="N17" i="9" s="1"/>
  <c r="N18" i="9" s="1"/>
  <c r="N19" i="9" s="1"/>
  <c r="N20" i="9" s="1"/>
  <c r="N21" i="9" s="1"/>
  <c r="N22" i="9" s="1"/>
  <c r="N23" i="9" s="1"/>
  <c r="N24" i="9" s="1"/>
  <c r="N25" i="9" s="1"/>
  <c r="N26" i="9" s="1"/>
  <c r="N27" i="9" s="1"/>
  <c r="N28" i="9" s="1"/>
  <c r="N29" i="9" s="1"/>
  <c r="N30" i="9" s="1"/>
  <c r="N31" i="9" s="1"/>
  <c r="N32" i="9" s="1"/>
  <c r="N33" i="9" s="1"/>
  <c r="N34" i="9" s="1"/>
  <c r="N35" i="9" s="1"/>
  <c r="N36" i="9" s="1"/>
  <c r="N37" i="9" s="1"/>
  <c r="M15" i="9"/>
  <c r="M16" i="9" s="1"/>
  <c r="M17" i="9" s="1"/>
  <c r="M18" i="9" s="1"/>
  <c r="M19" i="9" s="1"/>
  <c r="M20" i="9" s="1"/>
  <c r="M21" i="9" s="1"/>
  <c r="M22" i="9" s="1"/>
  <c r="M23" i="9" s="1"/>
  <c r="M24" i="9" s="1"/>
  <c r="M25" i="9" s="1"/>
  <c r="M26" i="9" s="1"/>
  <c r="M27" i="9" s="1"/>
  <c r="M28" i="9" s="1"/>
  <c r="M29" i="9" s="1"/>
  <c r="M30" i="9" s="1"/>
  <c r="M31" i="9" s="1"/>
  <c r="M32" i="9" s="1"/>
  <c r="M33" i="9" s="1"/>
  <c r="M34" i="9" s="1"/>
  <c r="M35" i="9" s="1"/>
  <c r="M36" i="9" s="1"/>
  <c r="M37" i="9" s="1"/>
  <c r="L15" i="9"/>
  <c r="L16" i="9" s="1"/>
  <c r="L17" i="9" s="1"/>
  <c r="L18" i="9" s="1"/>
  <c r="L19" i="9" s="1"/>
  <c r="L20" i="9" s="1"/>
  <c r="L21" i="9" s="1"/>
  <c r="L22" i="9" s="1"/>
  <c r="L23" i="9" s="1"/>
  <c r="L24" i="9" s="1"/>
  <c r="L25" i="9" s="1"/>
  <c r="L26" i="9" s="1"/>
  <c r="L27" i="9" s="1"/>
  <c r="L28" i="9" s="1"/>
  <c r="L29" i="9" s="1"/>
  <c r="L30" i="9" s="1"/>
  <c r="L31" i="9" s="1"/>
  <c r="L32" i="9" s="1"/>
  <c r="L33" i="9" s="1"/>
  <c r="L34" i="9" s="1"/>
  <c r="L35" i="9" s="1"/>
  <c r="L36" i="9" s="1"/>
  <c r="L37" i="9" s="1"/>
  <c r="K15" i="9"/>
  <c r="K16" i="9" s="1"/>
  <c r="K17" i="9" s="1"/>
  <c r="J20" i="9"/>
  <c r="J21" i="9" s="1"/>
  <c r="J22" i="9" s="1"/>
  <c r="J23" i="9" s="1"/>
  <c r="J24" i="9" s="1"/>
  <c r="J25" i="9" s="1"/>
  <c r="J26" i="9" s="1"/>
  <c r="J27" i="9" s="1"/>
  <c r="J28" i="9" s="1"/>
  <c r="J29" i="9" s="1"/>
  <c r="J30" i="9" s="1"/>
  <c r="J31" i="9" s="1"/>
  <c r="J32" i="9" s="1"/>
  <c r="J33" i="9" s="1"/>
  <c r="J34" i="9" s="1"/>
  <c r="J35" i="9" s="1"/>
  <c r="J36" i="9" s="1"/>
  <c r="J37" i="9" s="1"/>
  <c r="O17" i="9" l="1"/>
  <c r="K18" i="9"/>
  <c r="K19" i="9" s="1"/>
  <c r="K20" i="9" s="1"/>
  <c r="K21" i="9" s="1"/>
  <c r="K22" i="9" s="1"/>
  <c r="K23" i="9" s="1"/>
  <c r="K24" i="9" s="1"/>
  <c r="K25" i="9" s="1"/>
  <c r="K26" i="9" s="1"/>
  <c r="K27" i="9" s="1"/>
  <c r="K28" i="9" s="1"/>
  <c r="K29" i="9" s="1"/>
  <c r="K30" i="9" s="1"/>
  <c r="K31" i="9" s="1"/>
  <c r="K32" i="9" s="1"/>
  <c r="K33" i="9" s="1"/>
  <c r="K34" i="9" s="1"/>
  <c r="K35" i="9" s="1"/>
  <c r="K36" i="9" s="1"/>
  <c r="K37" i="9" s="1"/>
  <c r="W41" i="9"/>
  <c r="W42" i="9"/>
  <c r="W43" i="9"/>
  <c r="M11" i="5"/>
  <c r="M10" i="5"/>
  <c r="K11" i="5"/>
  <c r="K12" i="5"/>
  <c r="M12" i="5" s="1"/>
  <c r="K13" i="5"/>
  <c r="M13" i="5" s="1"/>
  <c r="K14" i="5"/>
  <c r="M14" i="5" s="1"/>
  <c r="K15" i="5"/>
  <c r="M15" i="5" s="1"/>
  <c r="K16" i="5"/>
  <c r="M16" i="5" s="1"/>
  <c r="K17" i="5"/>
  <c r="M17" i="5" s="1"/>
  <c r="K18" i="5"/>
  <c r="M18" i="5" s="1"/>
  <c r="K19" i="5"/>
  <c r="M19" i="5" s="1"/>
  <c r="K20" i="5"/>
  <c r="M20" i="5" s="1"/>
  <c r="K21" i="5"/>
  <c r="M21" i="5" s="1"/>
  <c r="K22" i="5"/>
  <c r="M22" i="5" s="1"/>
  <c r="K23" i="5"/>
  <c r="M23" i="5" s="1"/>
  <c r="K24" i="5"/>
  <c r="M24" i="5" s="1"/>
  <c r="K25" i="5"/>
  <c r="M25" i="5" s="1"/>
  <c r="K26" i="5"/>
  <c r="M26" i="5" s="1"/>
  <c r="K27" i="5"/>
  <c r="M27" i="5" s="1"/>
  <c r="K28" i="5"/>
  <c r="M28" i="5" s="1"/>
  <c r="K29" i="5"/>
  <c r="M29" i="5" s="1"/>
  <c r="K30" i="5"/>
  <c r="M30" i="5" s="1"/>
  <c r="K31" i="5"/>
  <c r="M31" i="5" s="1"/>
  <c r="K32" i="5"/>
  <c r="M32" i="5" s="1"/>
  <c r="K33" i="5"/>
  <c r="M33" i="5" s="1"/>
  <c r="K34" i="5"/>
  <c r="M34" i="5" s="1"/>
  <c r="K35" i="5"/>
  <c r="M35" i="5" s="1"/>
  <c r="K36" i="5"/>
  <c r="M36" i="5" s="1"/>
  <c r="K37" i="5"/>
  <c r="M37" i="5" s="1"/>
  <c r="K10" i="5"/>
  <c r="G41" i="9"/>
  <c r="H41" i="9"/>
  <c r="R41" i="9"/>
  <c r="G42" i="9"/>
  <c r="H42" i="9"/>
  <c r="R42" i="9"/>
  <c r="E10" i="8"/>
  <c r="F33" i="5"/>
  <c r="F34" i="5" s="1"/>
  <c r="F35" i="5" s="1"/>
  <c r="F36" i="5" s="1"/>
  <c r="F37" i="5" s="1"/>
  <c r="H33" i="5"/>
  <c r="H34" i="5" s="1"/>
  <c r="H35" i="5" s="1"/>
  <c r="H36" i="5" s="1"/>
  <c r="H37" i="5" s="1"/>
  <c r="D33" i="5"/>
  <c r="D34" i="5" s="1"/>
  <c r="D35" i="5" s="1"/>
  <c r="D36" i="5" s="1"/>
  <c r="D37" i="5" s="1"/>
  <c r="C33" i="5"/>
  <c r="C34" i="5" s="1"/>
  <c r="C35" i="5" s="1"/>
  <c r="C36" i="5" s="1"/>
  <c r="C37" i="5" s="1"/>
  <c r="B33" i="5"/>
  <c r="B34" i="5" s="1"/>
  <c r="B35" i="5" s="1"/>
  <c r="B36" i="5" s="1"/>
  <c r="B37" i="5" s="1"/>
  <c r="H43" i="11"/>
  <c r="G43" i="11"/>
  <c r="G44" i="11" s="1"/>
  <c r="F43" i="11"/>
  <c r="F44" i="11" s="1"/>
  <c r="D43" i="11"/>
  <c r="D44" i="11" s="1"/>
  <c r="C43" i="11"/>
  <c r="C44" i="11" s="1"/>
  <c r="B43" i="11"/>
  <c r="B44" i="11" s="1"/>
  <c r="H42" i="11"/>
  <c r="G42" i="11"/>
  <c r="F42" i="11"/>
  <c r="D42" i="11"/>
  <c r="C42" i="11"/>
  <c r="B42" i="11"/>
  <c r="I6" i="2"/>
  <c r="F8" i="3"/>
  <c r="D41" i="3"/>
  <c r="H43" i="9" l="1"/>
  <c r="G43" i="9"/>
  <c r="H44" i="11"/>
  <c r="F7" i="9"/>
  <c r="I10" i="7" l="1"/>
  <c r="G41" i="5" l="1"/>
  <c r="G42" i="5"/>
  <c r="G43" i="5" l="1"/>
  <c r="B41" i="8"/>
  <c r="C41" i="7"/>
  <c r="D41" i="7"/>
  <c r="C41" i="5"/>
  <c r="D41" i="5"/>
  <c r="F41" i="5"/>
  <c r="E41" i="5"/>
  <c r="H41" i="5"/>
  <c r="M41" i="5"/>
  <c r="L41" i="5"/>
  <c r="B41" i="5"/>
  <c r="C41" i="2"/>
  <c r="D41" i="2"/>
  <c r="E41" i="2"/>
  <c r="F25" i="9" l="1"/>
  <c r="H42" i="5"/>
  <c r="H43" i="5" s="1"/>
  <c r="M42" i="5"/>
  <c r="M43" i="5" s="1"/>
  <c r="L42" i="5"/>
  <c r="L43" i="5" s="1"/>
  <c r="K41" i="5" l="1"/>
  <c r="O7" i="9"/>
  <c r="O8" i="9"/>
  <c r="O9" i="9"/>
  <c r="O10" i="9"/>
  <c r="O11" i="9"/>
  <c r="O12" i="9"/>
  <c r="O13" i="9"/>
  <c r="O14" i="9"/>
  <c r="O15" i="9"/>
  <c r="O16" i="9"/>
  <c r="O18" i="9"/>
  <c r="O33" i="9"/>
  <c r="F32" i="9"/>
  <c r="P11" i="9"/>
  <c r="P12" i="9" s="1"/>
  <c r="F8" i="9"/>
  <c r="F9" i="9"/>
  <c r="F10" i="9"/>
  <c r="F11" i="9"/>
  <c r="F12" i="9"/>
  <c r="F13" i="9"/>
  <c r="F14" i="9"/>
  <c r="F15" i="9"/>
  <c r="F16" i="9"/>
  <c r="F17" i="9"/>
  <c r="F18" i="9"/>
  <c r="F19" i="9"/>
  <c r="F20" i="9"/>
  <c r="F21" i="9"/>
  <c r="F22" i="9"/>
  <c r="F23" i="9"/>
  <c r="F24" i="9"/>
  <c r="F26" i="9"/>
  <c r="F27" i="9"/>
  <c r="F28" i="9"/>
  <c r="F29" i="9"/>
  <c r="F30" i="9"/>
  <c r="F31" i="9"/>
  <c r="B12" i="9"/>
  <c r="B13" i="9" s="1"/>
  <c r="B14" i="9" s="1"/>
  <c r="B15" i="9" s="1"/>
  <c r="B16" i="9" s="1"/>
  <c r="I12" i="9"/>
  <c r="I13" i="9" s="1"/>
  <c r="I14" i="9" s="1"/>
  <c r="I15" i="9" s="1"/>
  <c r="I16" i="9" s="1"/>
  <c r="U10" i="9"/>
  <c r="U11" i="9" s="1"/>
  <c r="U12" i="9" s="1"/>
  <c r="U13" i="9" s="1"/>
  <c r="U14" i="9" s="1"/>
  <c r="U15" i="9" s="1"/>
  <c r="U16" i="9" s="1"/>
  <c r="C11" i="8"/>
  <c r="B31" i="8"/>
  <c r="F11" i="8"/>
  <c r="F12" i="8" s="1"/>
  <c r="F13" i="8" s="1"/>
  <c r="F14" i="8" s="1"/>
  <c r="F15" i="8" s="1"/>
  <c r="F16" i="8" s="1"/>
  <c r="J8" i="7"/>
  <c r="J7" i="7"/>
  <c r="J6" i="7"/>
  <c r="F11" i="7"/>
  <c r="E29" i="7"/>
  <c r="E24" i="7"/>
  <c r="E19" i="7"/>
  <c r="E14" i="7"/>
  <c r="G11" i="7"/>
  <c r="G12" i="7" s="1"/>
  <c r="B11" i="7"/>
  <c r="F9" i="3"/>
  <c r="I7" i="2"/>
  <c r="I8" i="2"/>
  <c r="I9" i="2"/>
  <c r="D42" i="7"/>
  <c r="D43" i="7" s="1"/>
  <c r="C42" i="7"/>
  <c r="C43" i="7" s="1"/>
  <c r="F42" i="5"/>
  <c r="F43" i="5" s="1"/>
  <c r="D42" i="5"/>
  <c r="D43" i="5" s="1"/>
  <c r="C42" i="5"/>
  <c r="C43" i="5" s="1"/>
  <c r="G8" i="3"/>
  <c r="G7" i="3"/>
  <c r="G6" i="3"/>
  <c r="C10" i="3"/>
  <c r="C11" i="3" s="1"/>
  <c r="C12" i="3" s="1"/>
  <c r="E10" i="2"/>
  <c r="B12" i="2"/>
  <c r="B13" i="2" s="1"/>
  <c r="B14" i="2" s="1"/>
  <c r="B15" i="2" s="1"/>
  <c r="B16" i="2" s="1"/>
  <c r="E12" i="2"/>
  <c r="E13" i="2"/>
  <c r="E14" i="2"/>
  <c r="C42" i="2"/>
  <c r="C43" i="2" s="1"/>
  <c r="D42" i="2"/>
  <c r="D43" i="2" s="1"/>
  <c r="E42" i="2"/>
  <c r="E43" i="2" s="1"/>
  <c r="Q41" i="9" l="1"/>
  <c r="Q42" i="9"/>
  <c r="E11" i="8"/>
  <c r="B32" i="8"/>
  <c r="T11" i="9"/>
  <c r="U17" i="9"/>
  <c r="U18" i="9" s="1"/>
  <c r="U19" i="9" s="1"/>
  <c r="U20" i="9" s="1"/>
  <c r="U21" i="9" s="1"/>
  <c r="U22" i="9" s="1"/>
  <c r="U23" i="9" s="1"/>
  <c r="U24" i="9" s="1"/>
  <c r="U25" i="9" s="1"/>
  <c r="U26" i="9" s="1"/>
  <c r="U27" i="9" s="1"/>
  <c r="U28" i="9" s="1"/>
  <c r="I17" i="9"/>
  <c r="I18" i="9" s="1"/>
  <c r="I19" i="9" s="1"/>
  <c r="I20" i="9" s="1"/>
  <c r="I21" i="9" s="1"/>
  <c r="I22" i="9" s="1"/>
  <c r="I23" i="9" s="1"/>
  <c r="I24" i="9" s="1"/>
  <c r="I25" i="9" s="1"/>
  <c r="I26" i="9" s="1"/>
  <c r="I27" i="9" s="1"/>
  <c r="I28" i="9" s="1"/>
  <c r="B17" i="9"/>
  <c r="B18" i="9" s="1"/>
  <c r="B19" i="9" s="1"/>
  <c r="B20" i="9" s="1"/>
  <c r="B21" i="9" s="1"/>
  <c r="B22" i="9" s="1"/>
  <c r="B23" i="9" s="1"/>
  <c r="B24" i="9" s="1"/>
  <c r="B25" i="9" s="1"/>
  <c r="B26" i="9" s="1"/>
  <c r="B27" i="9" s="1"/>
  <c r="B28" i="9" s="1"/>
  <c r="F17" i="8"/>
  <c r="F18" i="8" s="1"/>
  <c r="F19" i="8" s="1"/>
  <c r="F20" i="8" s="1"/>
  <c r="F21" i="8" s="1"/>
  <c r="F22" i="8" s="1"/>
  <c r="F23" i="8" s="1"/>
  <c r="F24" i="8" s="1"/>
  <c r="F25" i="8" s="1"/>
  <c r="F26" i="8" s="1"/>
  <c r="F27" i="8" s="1"/>
  <c r="F28" i="8" s="1"/>
  <c r="F29" i="8" s="1"/>
  <c r="F30" i="8" s="1"/>
  <c r="F31" i="8" s="1"/>
  <c r="F32" i="8" s="1"/>
  <c r="B17" i="2"/>
  <c r="B18" i="2" s="1"/>
  <c r="G9" i="3"/>
  <c r="G10" i="3" s="1"/>
  <c r="G11" i="3" s="1"/>
  <c r="G12" i="3" s="1"/>
  <c r="B12" i="7"/>
  <c r="I11" i="7"/>
  <c r="E41" i="7"/>
  <c r="F20" i="7"/>
  <c r="F21" i="7" s="1"/>
  <c r="F22" i="7" s="1"/>
  <c r="F23" i="7" s="1"/>
  <c r="F24" i="7" s="1"/>
  <c r="F25" i="7" s="1"/>
  <c r="F26" i="7" s="1"/>
  <c r="F27" i="7" s="1"/>
  <c r="F28" i="7" s="1"/>
  <c r="F29" i="7" s="1"/>
  <c r="F30" i="7" s="1"/>
  <c r="F31" i="7" s="1"/>
  <c r="F32" i="7" s="1"/>
  <c r="B33" i="8"/>
  <c r="C13" i="3"/>
  <c r="C14" i="3" s="1"/>
  <c r="J9" i="7"/>
  <c r="J10" i="7" s="1"/>
  <c r="J11" i="7" s="1"/>
  <c r="J12" i="7" s="1"/>
  <c r="J13" i="7" s="1"/>
  <c r="J14" i="7" s="1"/>
  <c r="J15" i="7" s="1"/>
  <c r="J16" i="7" s="1"/>
  <c r="O19" i="9"/>
  <c r="O20" i="9"/>
  <c r="T9" i="9"/>
  <c r="V9" i="9" s="1"/>
  <c r="T10" i="9"/>
  <c r="V10" i="9" s="1"/>
  <c r="T8" i="9"/>
  <c r="T7" i="9"/>
  <c r="T12" i="9"/>
  <c r="P13" i="9"/>
  <c r="T13" i="9" s="1"/>
  <c r="G11" i="8"/>
  <c r="G10" i="8"/>
  <c r="G13" i="7"/>
  <c r="G15" i="7" s="1"/>
  <c r="G16" i="7" s="1"/>
  <c r="F10" i="3"/>
  <c r="B19" i="2"/>
  <c r="B20" i="2" s="1"/>
  <c r="B21" i="2" s="1"/>
  <c r="B22" i="2" s="1"/>
  <c r="B23" i="2" s="1"/>
  <c r="B24" i="2" s="1"/>
  <c r="B25" i="2" s="1"/>
  <c r="B26" i="2" s="1"/>
  <c r="B27" i="2" s="1"/>
  <c r="B28" i="2" s="1"/>
  <c r="F11" i="3"/>
  <c r="C15" i="3" l="1"/>
  <c r="C16" i="3" s="1"/>
  <c r="B41" i="9"/>
  <c r="I41" i="9"/>
  <c r="Q43" i="9"/>
  <c r="U41" i="9"/>
  <c r="F41" i="8"/>
  <c r="B34" i="8"/>
  <c r="E12" i="8"/>
  <c r="B29" i="9"/>
  <c r="B30" i="9" s="1"/>
  <c r="B31" i="9" s="1"/>
  <c r="B32" i="9" s="1"/>
  <c r="B33" i="9" s="1"/>
  <c r="B34" i="9" s="1"/>
  <c r="B35" i="9" s="1"/>
  <c r="B36" i="9" s="1"/>
  <c r="B37" i="9" s="1"/>
  <c r="U29" i="9"/>
  <c r="U30" i="9" s="1"/>
  <c r="U31" i="9" s="1"/>
  <c r="U32" i="9" s="1"/>
  <c r="U33" i="9" s="1"/>
  <c r="U34" i="9" s="1"/>
  <c r="U35" i="9" s="1"/>
  <c r="U36" i="9" s="1"/>
  <c r="U37" i="9" s="1"/>
  <c r="I29" i="9"/>
  <c r="I30" i="9" s="1"/>
  <c r="I31" i="9" s="1"/>
  <c r="I32" i="9" s="1"/>
  <c r="I33" i="9" s="1"/>
  <c r="I34" i="9" s="1"/>
  <c r="I35" i="9" s="1"/>
  <c r="I36" i="9" s="1"/>
  <c r="I37" i="9" s="1"/>
  <c r="AG41" i="9"/>
  <c r="B41" i="2"/>
  <c r="C17" i="3"/>
  <c r="C18" i="3" s="1"/>
  <c r="C19" i="3" s="1"/>
  <c r="C20" i="3" s="1"/>
  <c r="C21" i="3" s="1"/>
  <c r="C22" i="3" s="1"/>
  <c r="C23" i="3" s="1"/>
  <c r="C24" i="3" s="1"/>
  <c r="C25" i="3" s="1"/>
  <c r="C26" i="3" s="1"/>
  <c r="C27" i="3" s="1"/>
  <c r="C28" i="3" s="1"/>
  <c r="H10" i="3"/>
  <c r="B13" i="7"/>
  <c r="I12" i="7"/>
  <c r="K12" i="7" s="1"/>
  <c r="G17" i="7"/>
  <c r="G18" i="7" s="1"/>
  <c r="G19" i="7" s="1"/>
  <c r="G20" i="7" s="1"/>
  <c r="G21" i="7" s="1"/>
  <c r="G22" i="7" s="1"/>
  <c r="G23" i="7" s="1"/>
  <c r="G24" i="7" s="1"/>
  <c r="G25" i="7" s="1"/>
  <c r="G26" i="7" s="1"/>
  <c r="G27" i="7" s="1"/>
  <c r="G28" i="7" s="1"/>
  <c r="F41" i="7"/>
  <c r="J17" i="7"/>
  <c r="J18" i="7" s="1"/>
  <c r="J19" i="7" s="1"/>
  <c r="J20" i="7" s="1"/>
  <c r="J21" i="7" s="1"/>
  <c r="J22" i="7" s="1"/>
  <c r="J23" i="7" s="1"/>
  <c r="J24" i="7" s="1"/>
  <c r="J25" i="7" s="1"/>
  <c r="J26" i="7" s="1"/>
  <c r="J27" i="7" s="1"/>
  <c r="J28" i="7" s="1"/>
  <c r="J29" i="7" s="1"/>
  <c r="J30" i="7" s="1"/>
  <c r="J31" i="7" s="1"/>
  <c r="J32" i="7" s="1"/>
  <c r="J33" i="7" s="1"/>
  <c r="J34" i="7" s="1"/>
  <c r="J35" i="7" s="1"/>
  <c r="J36" i="7" s="1"/>
  <c r="J37" i="7" s="1"/>
  <c r="G13" i="3"/>
  <c r="G14" i="3" s="1"/>
  <c r="G15" i="3" s="1"/>
  <c r="G16" i="3" s="1"/>
  <c r="C29" i="3"/>
  <c r="C30" i="3" s="1"/>
  <c r="C31" i="3" s="1"/>
  <c r="C32" i="3" s="1"/>
  <c r="C33" i="3" s="1"/>
  <c r="C34" i="3" s="1"/>
  <c r="C35" i="3" s="1"/>
  <c r="C36" i="3" s="1"/>
  <c r="C37" i="3" s="1"/>
  <c r="H11" i="3"/>
  <c r="K11" i="7"/>
  <c r="K10" i="7"/>
  <c r="O21" i="9"/>
  <c r="P14" i="9"/>
  <c r="T14" i="9" s="1"/>
  <c r="V11" i="9"/>
  <c r="V12" i="9"/>
  <c r="G12" i="8"/>
  <c r="B29" i="2"/>
  <c r="B30" i="2" s="1"/>
  <c r="B31" i="2" s="1"/>
  <c r="B32" i="2" s="1"/>
  <c r="B33" i="2" s="1"/>
  <c r="B34" i="2" s="1"/>
  <c r="B35" i="2" s="1"/>
  <c r="B36" i="2" s="1"/>
  <c r="B37" i="2" s="1"/>
  <c r="H12" i="3"/>
  <c r="U42" i="9" l="1"/>
  <c r="U43" i="9" s="1"/>
  <c r="I42" i="9"/>
  <c r="I43" i="9" s="1"/>
  <c r="B42" i="9"/>
  <c r="B43" i="9" s="1"/>
  <c r="E13" i="8"/>
  <c r="B35" i="8"/>
  <c r="B42" i="2"/>
  <c r="B43" i="2" s="1"/>
  <c r="C42" i="3"/>
  <c r="C41" i="3"/>
  <c r="G17" i="3"/>
  <c r="G18" i="3" s="1"/>
  <c r="G19" i="3" s="1"/>
  <c r="G20" i="3" s="1"/>
  <c r="G21" i="3" s="1"/>
  <c r="G22" i="3" s="1"/>
  <c r="G23" i="3" s="1"/>
  <c r="G24" i="3" s="1"/>
  <c r="G25" i="3" s="1"/>
  <c r="G26" i="3" s="1"/>
  <c r="G27" i="3" s="1"/>
  <c r="G28" i="3" s="1"/>
  <c r="G29" i="3" s="1"/>
  <c r="G30" i="3" s="1"/>
  <c r="G31" i="3" s="1"/>
  <c r="G32" i="3" s="1"/>
  <c r="G33" i="3" s="1"/>
  <c r="G34" i="3" s="1"/>
  <c r="G35" i="3" s="1"/>
  <c r="G36" i="3" s="1"/>
  <c r="G37" i="3" s="1"/>
  <c r="H13" i="3"/>
  <c r="C43" i="3"/>
  <c r="B14" i="7"/>
  <c r="I13" i="7"/>
  <c r="K13" i="7" s="1"/>
  <c r="J41" i="7"/>
  <c r="G41" i="7"/>
  <c r="O22" i="9"/>
  <c r="P15" i="9"/>
  <c r="T15" i="9" s="1"/>
  <c r="V13" i="9"/>
  <c r="V14" i="9"/>
  <c r="G13" i="8"/>
  <c r="F33" i="8"/>
  <c r="F34" i="8" s="1"/>
  <c r="F35" i="8" s="1"/>
  <c r="F36" i="8" s="1"/>
  <c r="F37" i="8" s="1"/>
  <c r="G29" i="7"/>
  <c r="G30" i="7" s="1"/>
  <c r="G31" i="7" s="1"/>
  <c r="G32" i="7" s="1"/>
  <c r="G33" i="7" s="1"/>
  <c r="G34" i="7" s="1"/>
  <c r="G35" i="7" s="1"/>
  <c r="G36" i="7" s="1"/>
  <c r="G37" i="7" s="1"/>
  <c r="F33" i="7"/>
  <c r="F34" i="7" s="1"/>
  <c r="F35" i="7" s="1"/>
  <c r="F36" i="7" s="1"/>
  <c r="F37" i="7" s="1"/>
  <c r="H14" i="3"/>
  <c r="E14" i="8" l="1"/>
  <c r="B36" i="8"/>
  <c r="G41" i="3"/>
  <c r="B15" i="7"/>
  <c r="I14" i="7"/>
  <c r="K14" i="7" s="1"/>
  <c r="O23" i="9"/>
  <c r="P16" i="9"/>
  <c r="V15" i="9"/>
  <c r="F42" i="8"/>
  <c r="F43" i="8" s="1"/>
  <c r="G14" i="8"/>
  <c r="J42" i="7"/>
  <c r="J43" i="7" s="1"/>
  <c r="G42" i="7"/>
  <c r="G43" i="7" s="1"/>
  <c r="F42" i="7"/>
  <c r="F43" i="7" s="1"/>
  <c r="E42" i="7"/>
  <c r="E43" i="7" s="1"/>
  <c r="E42" i="5"/>
  <c r="E43" i="5" s="1"/>
  <c r="D42" i="3"/>
  <c r="D43" i="3" s="1"/>
  <c r="G42" i="3"/>
  <c r="G43" i="3" s="1"/>
  <c r="E15" i="8" l="1"/>
  <c r="B37" i="8"/>
  <c r="T16" i="9"/>
  <c r="B16" i="7"/>
  <c r="I15" i="7"/>
  <c r="K15" i="7" s="1"/>
  <c r="O24" i="9"/>
  <c r="P17" i="9"/>
  <c r="T17" i="9" s="1"/>
  <c r="G15" i="8"/>
  <c r="H15" i="3"/>
  <c r="B42" i="8" l="1"/>
  <c r="B43" i="8" s="1"/>
  <c r="E16" i="8"/>
  <c r="V16" i="9"/>
  <c r="H16" i="3"/>
  <c r="I16" i="7"/>
  <c r="K16" i="7" s="1"/>
  <c r="B17" i="7"/>
  <c r="O25" i="9"/>
  <c r="P18" i="9"/>
  <c r="V17" i="9"/>
  <c r="T18" i="9" l="1"/>
  <c r="V18" i="9" s="1"/>
  <c r="E17" i="8"/>
  <c r="G16" i="8"/>
  <c r="B18" i="7"/>
  <c r="I17" i="7"/>
  <c r="K17" i="7" s="1"/>
  <c r="H17" i="3"/>
  <c r="O26" i="9"/>
  <c r="P19" i="9"/>
  <c r="T19" i="9" s="1"/>
  <c r="G17" i="8"/>
  <c r="C19" i="8" l="1"/>
  <c r="E18" i="8"/>
  <c r="B19" i="7"/>
  <c r="I18" i="7"/>
  <c r="K18" i="7" s="1"/>
  <c r="O27" i="9"/>
  <c r="O41" i="9" s="1"/>
  <c r="P20" i="9"/>
  <c r="T20" i="9" s="1"/>
  <c r="V20" i="9" s="1"/>
  <c r="V19" i="9"/>
  <c r="G18" i="8"/>
  <c r="H19" i="3"/>
  <c r="H18" i="3"/>
  <c r="C20" i="8" l="1"/>
  <c r="E19" i="8"/>
  <c r="B20" i="7"/>
  <c r="I19" i="7"/>
  <c r="K19" i="7" s="1"/>
  <c r="O28" i="9"/>
  <c r="P21" i="9"/>
  <c r="T21" i="9" s="1"/>
  <c r="G19" i="8"/>
  <c r="C21" i="8" l="1"/>
  <c r="E20" i="8"/>
  <c r="B21" i="7"/>
  <c r="I20" i="7"/>
  <c r="K20" i="7" s="1"/>
  <c r="O29" i="9"/>
  <c r="P22" i="9"/>
  <c r="T22" i="9" s="1"/>
  <c r="V21" i="9"/>
  <c r="G20" i="8"/>
  <c r="H20" i="3"/>
  <c r="H21" i="3"/>
  <c r="C22" i="8" l="1"/>
  <c r="E21" i="8"/>
  <c r="B22" i="7"/>
  <c r="I21" i="7"/>
  <c r="K21" i="7" s="1"/>
  <c r="O30" i="9"/>
  <c r="P23" i="9"/>
  <c r="T23" i="9" s="1"/>
  <c r="V22" i="9"/>
  <c r="G21" i="8"/>
  <c r="H22" i="3"/>
  <c r="C23" i="8" l="1"/>
  <c r="E22" i="8"/>
  <c r="B23" i="7"/>
  <c r="I22" i="7"/>
  <c r="K22" i="7" s="1"/>
  <c r="O32" i="9"/>
  <c r="O31" i="9"/>
  <c r="P24" i="9"/>
  <c r="T24" i="9" s="1"/>
  <c r="V23" i="9"/>
  <c r="G22" i="8"/>
  <c r="C24" i="8" l="1"/>
  <c r="E23" i="8"/>
  <c r="B24" i="7"/>
  <c r="I23" i="7"/>
  <c r="K23" i="7" s="1"/>
  <c r="P25" i="9"/>
  <c r="T25" i="9" s="1"/>
  <c r="V24" i="9"/>
  <c r="G23" i="8"/>
  <c r="H24" i="3"/>
  <c r="H23" i="3"/>
  <c r="C25" i="8" l="1"/>
  <c r="E24" i="8"/>
  <c r="B25" i="7"/>
  <c r="I24" i="7"/>
  <c r="K24" i="7" s="1"/>
  <c r="P26" i="9"/>
  <c r="T26" i="9" s="1"/>
  <c r="V25" i="9"/>
  <c r="G24" i="8"/>
  <c r="C26" i="8" l="1"/>
  <c r="E25" i="8"/>
  <c r="B26" i="7"/>
  <c r="I25" i="7"/>
  <c r="P27" i="9"/>
  <c r="P41" i="9" s="1"/>
  <c r="V26" i="9"/>
  <c r="G25" i="8"/>
  <c r="H25" i="3"/>
  <c r="H26" i="3"/>
  <c r="C27" i="8" l="1"/>
  <c r="E26" i="8"/>
  <c r="T27" i="9"/>
  <c r="K25" i="7"/>
  <c r="B27" i="7"/>
  <c r="I26" i="7"/>
  <c r="K26" i="7" s="1"/>
  <c r="P28" i="9"/>
  <c r="G26" i="8"/>
  <c r="F41" i="3"/>
  <c r="T28" i="9" l="1"/>
  <c r="C28" i="8"/>
  <c r="E27" i="8"/>
  <c r="C41" i="8"/>
  <c r="AF41" i="9"/>
  <c r="T41" i="9"/>
  <c r="V27" i="9"/>
  <c r="B28" i="7"/>
  <c r="I27" i="7"/>
  <c r="K27" i="7" s="1"/>
  <c r="K41" i="7" s="1"/>
  <c r="B41" i="7"/>
  <c r="P29" i="9"/>
  <c r="T29" i="9" s="1"/>
  <c r="V28" i="9"/>
  <c r="E41" i="8"/>
  <c r="H27" i="3"/>
  <c r="H41" i="3" s="1"/>
  <c r="C29" i="8" l="1"/>
  <c r="E28" i="8"/>
  <c r="I41" i="7"/>
  <c r="AH41" i="9"/>
  <c r="V41" i="9"/>
  <c r="G27" i="8"/>
  <c r="G41" i="8" s="1"/>
  <c r="B29" i="7"/>
  <c r="I28" i="7"/>
  <c r="K28" i="7" s="1"/>
  <c r="P30" i="9"/>
  <c r="T30" i="9" s="1"/>
  <c r="V29" i="9"/>
  <c r="H28" i="3"/>
  <c r="H29" i="3"/>
  <c r="C30" i="8" l="1"/>
  <c r="E29" i="8"/>
  <c r="G28" i="8"/>
  <c r="B30" i="7"/>
  <c r="I29" i="7"/>
  <c r="K29" i="7" s="1"/>
  <c r="P31" i="9"/>
  <c r="T31" i="9" s="1"/>
  <c r="V30" i="9"/>
  <c r="G29" i="8"/>
  <c r="H30" i="3"/>
  <c r="C31" i="8" l="1"/>
  <c r="E30" i="8"/>
  <c r="B31" i="7"/>
  <c r="I30" i="7"/>
  <c r="K30" i="7" s="1"/>
  <c r="P32" i="9"/>
  <c r="T32" i="9" s="1"/>
  <c r="V31" i="9"/>
  <c r="G30" i="8"/>
  <c r="C32" i="8" l="1"/>
  <c r="E32" i="8" s="1"/>
  <c r="E31" i="8"/>
  <c r="B32" i="7"/>
  <c r="I31" i="7"/>
  <c r="K31" i="7" s="1"/>
  <c r="P33" i="9"/>
  <c r="T33" i="9" s="1"/>
  <c r="V32" i="9"/>
  <c r="G31" i="8"/>
  <c r="H32" i="3"/>
  <c r="H31" i="3"/>
  <c r="O34" i="9" l="1"/>
  <c r="B33" i="7"/>
  <c r="I32" i="7"/>
  <c r="K32" i="7" s="1"/>
  <c r="P34" i="9"/>
  <c r="V33" i="9"/>
  <c r="G32" i="8"/>
  <c r="C33" i="8"/>
  <c r="E33" i="8" s="1"/>
  <c r="O35" i="9" l="1"/>
  <c r="T34" i="9"/>
  <c r="V34" i="9" s="1"/>
  <c r="B34" i="7"/>
  <c r="I33" i="7"/>
  <c r="K33" i="7" s="1"/>
  <c r="P35" i="9"/>
  <c r="T35" i="9" s="1"/>
  <c r="O36" i="9"/>
  <c r="C34" i="8"/>
  <c r="E34" i="8" s="1"/>
  <c r="G33" i="8"/>
  <c r="H34" i="3"/>
  <c r="H33" i="3"/>
  <c r="R43" i="9" l="1"/>
  <c r="B35" i="7"/>
  <c r="I34" i="7"/>
  <c r="K34" i="7" s="1"/>
  <c r="P36" i="9"/>
  <c r="T36" i="9" s="1"/>
  <c r="O37" i="9"/>
  <c r="V35" i="9"/>
  <c r="C35" i="8"/>
  <c r="E35" i="8" s="1"/>
  <c r="O42" i="9" l="1"/>
  <c r="O43" i="9" s="1"/>
  <c r="B36" i="7"/>
  <c r="I35" i="7"/>
  <c r="P37" i="9"/>
  <c r="V36" i="9"/>
  <c r="G34" i="8"/>
  <c r="C36" i="8"/>
  <c r="E36" i="8" s="1"/>
  <c r="G35" i="8"/>
  <c r="B42" i="5"/>
  <c r="B43" i="5" s="1"/>
  <c r="H36" i="3"/>
  <c r="H35" i="3"/>
  <c r="AF42" i="9" l="1"/>
  <c r="AF43" i="9" s="1"/>
  <c r="P42" i="9"/>
  <c r="P43" i="9" s="1"/>
  <c r="T37" i="9"/>
  <c r="T42" i="9" s="1"/>
  <c r="T43" i="9" s="1"/>
  <c r="K35" i="7"/>
  <c r="B37" i="7"/>
  <c r="I36" i="7"/>
  <c r="K36" i="7" s="1"/>
  <c r="C37" i="8"/>
  <c r="E37" i="8" s="1"/>
  <c r="G36" i="8"/>
  <c r="V37" i="9" l="1"/>
  <c r="AH42" i="9"/>
  <c r="AH43" i="9" s="1"/>
  <c r="V42" i="9"/>
  <c r="V43" i="9" s="1"/>
  <c r="AG42" i="9"/>
  <c r="AG43" i="9" s="1"/>
  <c r="I37" i="7"/>
  <c r="K37" i="7" s="1"/>
  <c r="K42" i="7" s="1"/>
  <c r="K43" i="7" s="1"/>
  <c r="B42" i="7"/>
  <c r="B43" i="7" s="1"/>
  <c r="E42" i="8"/>
  <c r="E43" i="8" s="1"/>
  <c r="C42" i="8"/>
  <c r="C43" i="8" s="1"/>
  <c r="H37" i="3"/>
  <c r="H42" i="3" s="1"/>
  <c r="H43" i="3" s="1"/>
  <c r="F42" i="3"/>
  <c r="F43" i="3" s="1"/>
  <c r="I42" i="7" l="1"/>
  <c r="I43" i="7" s="1"/>
  <c r="G37" i="8"/>
  <c r="G42" i="8" s="1"/>
  <c r="G43" i="8" s="1"/>
  <c r="K42" i="5"/>
  <c r="K43" i="5" s="1"/>
  <c r="J6" i="2" l="1"/>
  <c r="J7" i="2"/>
  <c r="J8" i="2"/>
  <c r="G10" i="2"/>
  <c r="I10" i="2"/>
  <c r="G11" i="2"/>
  <c r="G12" i="2" s="1"/>
  <c r="G13" i="2" s="1"/>
  <c r="G15" i="2" s="1"/>
  <c r="G16" i="2" s="1"/>
  <c r="J9" i="2" l="1"/>
  <c r="J10" i="2" s="1"/>
  <c r="J11" i="2" s="1"/>
  <c r="I12" i="2"/>
  <c r="I11" i="2"/>
  <c r="G17" i="2"/>
  <c r="G18" i="2" s="1"/>
  <c r="G19" i="2" s="1"/>
  <c r="G20" i="2" s="1"/>
  <c r="G21" i="2" s="1"/>
  <c r="G22" i="2" s="1"/>
  <c r="G23" i="2" s="1"/>
  <c r="G24" i="2" s="1"/>
  <c r="G25" i="2" s="1"/>
  <c r="G26" i="2" s="1"/>
  <c r="G27" i="2" s="1"/>
  <c r="G28" i="2" s="1"/>
  <c r="G29" i="2" s="1"/>
  <c r="G30" i="2" s="1"/>
  <c r="G31" i="2" s="1"/>
  <c r="G32" i="2" s="1"/>
  <c r="G33" i="2" s="1"/>
  <c r="G34" i="2" s="1"/>
  <c r="G35" i="2" s="1"/>
  <c r="G36" i="2" s="1"/>
  <c r="G37" i="2" s="1"/>
  <c r="J12" i="2"/>
  <c r="K11" i="2"/>
  <c r="K10" i="2"/>
  <c r="G42" i="2" l="1"/>
  <c r="G41" i="2"/>
  <c r="G43" i="2"/>
  <c r="F20" i="2"/>
  <c r="F21" i="2" s="1"/>
  <c r="F22" i="2" s="1"/>
  <c r="F23" i="2" s="1"/>
  <c r="F24" i="2" s="1"/>
  <c r="F25" i="2" s="1"/>
  <c r="F26" i="2" s="1"/>
  <c r="F27" i="2" s="1"/>
  <c r="F28" i="2" s="1"/>
  <c r="F29" i="2" s="1"/>
  <c r="F30" i="2" s="1"/>
  <c r="F31" i="2" s="1"/>
  <c r="F32" i="2" s="1"/>
  <c r="F33" i="2" s="1"/>
  <c r="F34" i="2" s="1"/>
  <c r="F35" i="2" s="1"/>
  <c r="F36" i="2" s="1"/>
  <c r="F37" i="2" s="1"/>
  <c r="J13" i="2"/>
  <c r="J14" i="2" s="1"/>
  <c r="J15" i="2" s="1"/>
  <c r="J16" i="2" s="1"/>
  <c r="I13" i="2"/>
  <c r="K12" i="2"/>
  <c r="F42" i="2" l="1"/>
  <c r="J17" i="2"/>
  <c r="J18" i="2" s="1"/>
  <c r="F41" i="2"/>
  <c r="F43" i="2" s="1"/>
  <c r="J19" i="2"/>
  <c r="J20" i="2" s="1"/>
  <c r="J21" i="2" s="1"/>
  <c r="J22" i="2" s="1"/>
  <c r="J23" i="2" s="1"/>
  <c r="J24" i="2" s="1"/>
  <c r="J25" i="2" s="1"/>
  <c r="J26" i="2" s="1"/>
  <c r="J27" i="2" s="1"/>
  <c r="J28" i="2" s="1"/>
  <c r="I14" i="2"/>
  <c r="K14" i="2" s="1"/>
  <c r="K13" i="2"/>
  <c r="J41" i="2" l="1"/>
  <c r="J29" i="2"/>
  <c r="J30" i="2" s="1"/>
  <c r="J31" i="2" s="1"/>
  <c r="J32" i="2" s="1"/>
  <c r="J33" i="2" s="1"/>
  <c r="J34" i="2" s="1"/>
  <c r="J35" i="2" s="1"/>
  <c r="J36" i="2" s="1"/>
  <c r="J37" i="2" s="1"/>
  <c r="I15" i="2"/>
  <c r="J42" i="2" l="1"/>
  <c r="J43" i="2" s="1"/>
  <c r="I16" i="2"/>
  <c r="K15" i="2"/>
  <c r="K16" i="2" l="1"/>
  <c r="I17" i="2"/>
  <c r="K17" i="2" l="1"/>
  <c r="I18" i="2"/>
  <c r="I19" i="2" l="1"/>
  <c r="K19" i="2" s="1"/>
  <c r="K18" i="2"/>
  <c r="I20" i="2" l="1"/>
  <c r="K20" i="2" l="1"/>
  <c r="I21" i="2"/>
  <c r="K21" i="2" s="1"/>
  <c r="I22" i="2" l="1"/>
  <c r="K22" i="2" s="1"/>
  <c r="I23" i="2" l="1"/>
  <c r="K23" i="2" l="1"/>
  <c r="I24" i="2"/>
  <c r="K24" i="2" s="1"/>
  <c r="I25" i="2" l="1"/>
  <c r="K25" i="2" s="1"/>
  <c r="I26" i="2" l="1"/>
  <c r="K26" i="2" s="1"/>
  <c r="I27" i="2" l="1"/>
  <c r="I41" i="2" s="1"/>
  <c r="K27" i="2" l="1"/>
  <c r="K41" i="2" s="1"/>
  <c r="I28" i="2"/>
  <c r="K28" i="2" l="1"/>
  <c r="I29" i="2"/>
  <c r="K29" i="2" s="1"/>
  <c r="I30" i="2" l="1"/>
  <c r="K30" i="2" s="1"/>
  <c r="I31" i="2" l="1"/>
  <c r="K31" i="2" s="1"/>
  <c r="I32" i="2" l="1"/>
  <c r="I33" i="2" l="1"/>
  <c r="K33" i="2" s="1"/>
  <c r="K32" i="2"/>
  <c r="I34" i="2" l="1"/>
  <c r="K34" i="2" s="1"/>
  <c r="I35" i="2" l="1"/>
  <c r="K35" i="2" s="1"/>
  <c r="I36" i="2" l="1"/>
  <c r="K36" i="2" s="1"/>
  <c r="I37" i="2"/>
  <c r="K37" i="2" l="1"/>
  <c r="K42" i="2" s="1"/>
  <c r="K43" i="2" s="1"/>
  <c r="I42" i="2"/>
  <c r="I4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tc={0F7B3286-E557-4889-AB8B-EC2A280C8D1E}</author>
    <author>tc={AC427F4A-F60A-4566-873E-625CFBD478D6}</author>
  </authors>
  <commentList>
    <comment ref="H4" authorId="0" shapeId="0" xr:uid="{0F7B3286-E557-4889-AB8B-EC2A280C8D1E}">
      <text>
        <t>[Threaded comment]
Your version of Excel allows you to read this threaded comment; however, any edits to it will get removed if the file is opened in a newer version of Excel. Learn more: https://go.microsoft.com/fwlink/?linkid=870924
Comment:
    (Total Revenues - O&amp;M Costs)</t>
      </text>
    </comment>
    <comment ref="A33" authorId="1" shapeId="0" xr:uid="{AC427F4A-F60A-4566-873E-625CFBD478D6}">
      <text>
        <t>[Threaded comment]
Your version of Excel allows you to read this threaded comment; however, any edits to it will get removed if the file is opened in a newer version of Excel. Learn more: https://go.microsoft.com/fwlink/?linkid=870924
Comment:
    Extended through 2050 with previous growth assumptions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tc={45CE05CD-370E-4548-96EE-69DC0C61E197}</author>
    <author>tc={00049332-6B85-46A8-9FF5-C00394BBF98F}</author>
    <author>tc={60A1096D-EED8-4D0B-8612-6389D569CC7E}</author>
    <author>tc={4039A43A-45AD-4A27-83C9-2C1662C1E263}</author>
    <author>tc={3D82F3B2-D862-42AB-9791-348FB72E5CA8}</author>
    <author>tc={CAA8D62E-4A92-4A1D-82FC-BDA70D9099CC}</author>
  </authors>
  <commentList>
    <comment ref="C4" authorId="0" shapeId="0" xr:uid="{45CE05CD-370E-4548-96EE-69DC0C61E197}">
      <text>
        <t>[Threaded comment]
Your version of Excel allows you to read this threaded comment; however, any edits to it will get removed if the file is opened in a newer version of Excel. Learn more: https://go.microsoft.com/fwlink/?linkid=870924
Comment:
    How are these different than SDCs?</t>
      </text>
    </comment>
    <comment ref="G4" authorId="1" shapeId="0" xr:uid="{00049332-6B85-46A8-9FF5-C00394BBF98F}">
      <text>
        <t>[Threaded comment]
Your version of Excel allows you to read this threaded comment; however, any edits to it will get removed if the file is opened in a newer version of Excel. Learn more: https://go.microsoft.com/fwlink/?linkid=870924
Comment:
    The source of these funds is the state apportionment. Multnomah County uses Intergovernmental Agreements (IGAs) to pass State Highway Fund money and local gas taxes to the cities of Portland, Gresham, Troutdale, and Fairview. This revenue comes from gas taxes, registration fees, and weigh-mile taxes. These payments are required because the County transferred 607 miles of road to these cities between 1984 and 2024. State law (ORS 366) strictly mandates that these funds can only be spent on building, maintaining, and operating public streets. For FY  2027, the estimated payments are:- Portland: $31,297,477- Gresham: $5,032,580- Troutdale: $22,849- Fairview: $18,535
https://multco.us/file/90024-27_adopted.pdf/download</t>
      </text>
    </comment>
    <comment ref="K4" authorId="2" shapeId="0" xr:uid="{60A1096D-EED8-4D0B-8612-6389D569CC7E}">
      <text>
        <t>[Threaded comment]
Your version of Excel allows you to read this threaded comment; however, any edits to it will get removed if the file is opened in a newer version of Excel. Learn more: https://go.microsoft.com/fwlink/?linkid=870924
Comment:
    (Total Revenues - O&amp;M Costs)</t>
      </text>
    </comment>
    <comment ref="F12" authorId="3" shapeId="0" xr:uid="{4039A43A-45AD-4A27-83C9-2C1662C1E263}">
      <text>
        <t xml:space="preserve">[Threaded comment]
Your version of Excel allows you to read this threaded comment; however, any edits to it will get removed if the file is opened in a newer version of Excel. Learn more: https://go.microsoft.com/fwlink/?linkid=870924
Comment:
    Pulled from https://www.oregon.gov/odot/Data/Revenue%20Forecasts%20%20Economic%20Reports/City%20County%20Apportionment_2604.pdf
</t>
      </text>
    </comment>
    <comment ref="G14" authorId="4" shapeId="0" xr:uid="{3D82F3B2-D862-42AB-9791-348FB72E5CA8}">
      <text>
        <t xml:space="preserve">[Threaded comment]
Your version of Excel allows you to read this threaded comment; however, any edits to it will get removed if the file is opened in a newer version of Excel. Learn more: https://go.microsoft.com/fwlink/?linkid=870924
Comment:
    Pulled from https://multco.us/file/90024-27_adopted.pdf/download
</t>
      </text>
    </comment>
    <comment ref="A33" authorId="5" shapeId="0" xr:uid="{CAA8D62E-4A92-4A1D-82FC-BDA70D9099CC}">
      <text>
        <t>[Threaded comment]
Your version of Excel allows you to read this threaded comment; however, any edits to it will get removed if the file is opened in a newer version of Excel. Learn more: https://go.microsoft.com/fwlink/?linkid=870924
Comment:
    Extended through 2050 with previous growth assumptions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tc={42619618-A028-446C-A73A-75E9BE704DB0}</author>
  </authors>
  <commentList>
    <comment ref="H5" authorId="0" shapeId="0" xr:uid="{42619618-A028-446C-A73A-75E9BE704DB0}">
      <text>
        <t>[Threaded comment]
Your version of Excel allows you to read this threaded comment; however, any edits to it will get removed if the file is opened in a newer version of Excel. Learn more: https://go.microsoft.com/fwlink/?linkid=870924
Comment:
    (Total Revenues - O&amp;M Costs)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tc={8C6FEF95-B669-4C70-AA1F-F4AB6062F576}</author>
    <author>tc={5E5D33D8-471C-457F-9716-8959DE80FFE8}</author>
    <author>tc={44DA5F02-F32E-41A0-B155-50C472611FE1}</author>
  </authors>
  <commentList>
    <comment ref="M4" authorId="0" shapeId="0" xr:uid="{8C6FEF95-B669-4C70-AA1F-F4AB6062F576}">
      <text>
        <t>[Threaded comment]
Your version of Excel allows you to read this threaded comment; however, any edits to it will get removed if the file is opened in a newer version of Excel. Learn more: https://go.microsoft.com/fwlink/?linkid=870924
Comment:
    (Total Revenues - O&amp;M Costs)</t>
      </text>
    </comment>
    <comment ref="I12" authorId="1" shapeId="0" xr:uid="{5E5D33D8-471C-457F-9716-8959DE80FFE8}">
      <text>
        <t xml:space="preserve">[Threaded comment]
Your version of Excel allows you to read this threaded comment; however, any edits to it will get removed if the file is opened in a newer version of Excel. Learn more: https://go.microsoft.com/fwlink/?linkid=870924
Comment:
    Pulled from https://www.oregon.gov/odot/Data/Revenue%20Forecasts%20%20Economic%20Reports/City%20County%20Apportionment_2604.pdf
</t>
      </text>
    </comment>
    <comment ref="A33" authorId="2" shapeId="0" xr:uid="{44DA5F02-F32E-41A0-B155-50C472611FE1}">
      <text>
        <t>[Threaded comment]
Your version of Excel allows you to read this threaded comment; however, any edits to it will get removed if the file is opened in a newer version of Excel. Learn more: https://go.microsoft.com/fwlink/?linkid=870924
Comment:
    Extended through 2050 with previous growth assumptions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tc={BAB67A60-9DA7-400A-9383-CCDD8617D686}</author>
    <author>tc={734C1EDE-6D3C-45B8-AD8C-E6A5B2F3241C}</author>
    <author>tc={8D93AB92-FDCD-41B2-967A-0262A47229F3}</author>
    <author>tc={2C154BC7-B26A-4FB7-B4CE-208FD2C65C83}</author>
    <author>tc={B0EBC6D7-DD72-4164-A3CE-12943D7C73A9}</author>
    <author>tc={57DC2D36-A1BE-4B60-994D-358480A759A7}</author>
  </authors>
  <commentList>
    <comment ref="E4" authorId="0" shapeId="0" xr:uid="{BAB67A60-9DA7-400A-9383-CCDD8617D686}">
      <text>
        <t>[Threaded comment]
Your version of Excel allows you to read this threaded comment; however, any edits to it will get removed if the file is opened in a newer version of Excel. Learn more: https://go.microsoft.com/fwlink/?linkid=870924
Comment:
    Need to confirm sources</t>
      </text>
    </comment>
    <comment ref="G4" authorId="1" shapeId="0" xr:uid="{734C1EDE-6D3C-45B8-AD8C-E6A5B2F3241C}">
      <text>
        <t>[Threaded comment]
Your version of Excel allows you to read this threaded comment; however, any edits to it will get removed if the file is opened in a newer version of Excel. Learn more: https://go.microsoft.com/fwlink/?linkid=870924
Comment:
    Multnomah County uses Intergovernmental Agreements (IGAs) to pass State Highway Fund money and local gas taxes to the cities of Portland, Gresham, Troutdale, and Fairview. This revenue comes from gas taxes, registration fees, and weigh-mile taxes. These payments are required because the County transferred 607 miles of road to these cities between 1984 and 2024. State law (ORS 366) strictly mandates that these funds can only be spent on building, maintaining, and operating public streets. https://multco.us/file/90024-27_adopted.pdf/download</t>
      </text>
    </comment>
    <comment ref="K4" authorId="2" shapeId="0" xr:uid="{8D93AB92-FDCD-41B2-967A-0262A47229F3}">
      <text>
        <t>[Threaded comment]
Your version of Excel allows you to read this threaded comment; however, any edits to it will get removed if the file is opened in a newer version of Excel. Learn more: https://go.microsoft.com/fwlink/?linkid=870924
Comment:
    (Total Revenues - O&amp;M Costs)</t>
      </text>
    </comment>
    <comment ref="F12" authorId="3" shapeId="0" xr:uid="{2C154BC7-B26A-4FB7-B4CE-208FD2C65C83}">
      <text>
        <t xml:space="preserve">[Threaded comment]
Your version of Excel allows you to read this threaded comment; however, any edits to it will get removed if the file is opened in a newer version of Excel. Learn more: https://go.microsoft.com/fwlink/?linkid=870924
Comment:
    Pulled from https://www.oregon.gov/odot/Data/Revenue%20Forecasts%20%20Economic%20Reports/City%20County%20Apportionment_2604.pdf
</t>
      </text>
    </comment>
    <comment ref="G14" authorId="4" shapeId="0" xr:uid="{B0EBC6D7-DD72-4164-A3CE-12943D7C73A9}">
      <text>
        <t xml:space="preserve">[Threaded comment]
Your version of Excel allows you to read this threaded comment; however, any edits to it will get removed if the file is opened in a newer version of Excel. Learn more: https://go.microsoft.com/fwlink/?linkid=870924
Comment:
    Pulled from https://multco.us/file/90024-27_adopted.pdf/download
</t>
      </text>
    </comment>
    <comment ref="A33" authorId="5" shapeId="0" xr:uid="{57DC2D36-A1BE-4B60-994D-358480A759A7}">
      <text>
        <t>[Threaded comment]
Your version of Excel allows you to read this threaded comment; however, any edits to it will get removed if the file is opened in a newer version of Excel. Learn more: https://go.microsoft.com/fwlink/?linkid=870924
Comment:
    Extended through 2050 with previous growth assumptions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tc={53A53C0A-8979-4727-8D8C-295C88680DB8}</author>
    <author>tc={5976C525-1611-4669-AE34-46BA49D38A55}</author>
  </authors>
  <commentList>
    <comment ref="G4" authorId="0" shapeId="0" xr:uid="{53A53C0A-8979-4727-8D8C-295C88680DB8}">
      <text>
        <t>[Threaded comment]
Your version of Excel allows you to read this threaded comment; however, any edits to it will get removed if the file is opened in a newer version of Excel. Learn more: https://go.microsoft.com/fwlink/?linkid=870924
Comment:
    (Total Revenues - O&amp;M Costs)</t>
      </text>
    </comment>
    <comment ref="A33" authorId="1" shapeId="0" xr:uid="{5976C525-1611-4669-AE34-46BA49D38A55}">
      <text>
        <t>[Threaded comment]
Your version of Excel allows you to read this threaded comment; however, any edits to it will get removed if the file is opened in a newer version of Excel. Learn more: https://go.microsoft.com/fwlink/?linkid=870924
Comment:
    Extended through 2050 with previous growth assumptions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tc={9CAA7EB6-4C38-4411-8F4A-6839FA159278}</author>
    <author>tc={47FFD7EC-206A-4AEA-82AC-7C48242F6782}</author>
    <author>tc={37FF1B08-10E2-4338-9C51-33594570E42C}</author>
    <author>tc={B93D8098-1F0C-4884-A14B-8BB0D7E8FE3E}</author>
    <author>tc={03493FE0-A8D7-4228-B9FB-CE718D6C748D}</author>
    <author>tc={B52F913E-E6E1-40E2-A429-D19F1A0681F2}</author>
    <author>tc={D2EB03F4-7B3C-4DA2-85B3-C4A89E086376}</author>
    <author>tc={E8611CDA-167C-4E45-B21F-D6FC8EF87C52}</author>
    <author>tc={ED2F2E97-BB9B-40D1-94F1-E9F629931953}</author>
  </authors>
  <commentList>
    <comment ref="H4" authorId="0" shapeId="0" xr:uid="{9CAA7EB6-4C38-4411-8F4A-6839FA159278}">
      <text>
        <t>[Threaded comment]
Your version of Excel allows you to read this threaded comment; however, any edits to it will get removed if the file is opened in a newer version of Excel. Learn more: https://go.microsoft.com/fwlink/?linkid=870924
Comment:
    3 Cents per gallon per State documents
Reply:
    Is this reflected in column L? Labeled State Gas Tax.</t>
      </text>
    </comment>
    <comment ref="N4" authorId="1" shapeId="0" xr:uid="{47FFD7EC-206A-4AEA-82AC-7C48242F6782}">
      <text>
        <t>[Threaded comment]
Your version of Excel allows you to read this threaded comment; however, any edits to it will get removed if the file is opened in a newer version of Excel. Learn more: https://go.microsoft.com/fwlink/?linkid=870924
Comment:
    Do not match City of Troutdale tab Revenue under “Multnomah IGA”</t>
      </text>
    </comment>
    <comment ref="V4" authorId="2" shapeId="0" xr:uid="{37FF1B08-10E2-4338-9C51-33594570E42C}">
      <text>
        <t>[Threaded comment]
Your version of Excel allows you to read this threaded comment; however, any edits to it will get removed if the file is opened in a newer version of Excel. Learn more: https://go.microsoft.com/fwlink/?linkid=870924
Comment:
    (Total Revenues - O&amp;M Costs)</t>
      </text>
    </comment>
    <comment ref="J14" authorId="3" shapeId="0" xr:uid="{B93D8098-1F0C-4884-A14B-8BB0D7E8FE3E}">
      <text>
        <t xml:space="preserve">[Threaded comment]
Your version of Excel allows you to read this threaded comment; however, any edits to it will get removed if the file is opened in a newer version of Excel. Learn more: https://go.microsoft.com/fwlink/?linkid=870924
Comment:
    Pulled from https://www.oregon.gov/odot/Data/Revenue%20Forecasts%20%20Economic%20Reports/City%20County%20Apportionment_2604.pdf
</t>
      </text>
    </comment>
    <comment ref="K14" authorId="4" shapeId="0" xr:uid="{03493FE0-A8D7-4228-B9FB-CE718D6C748D}">
      <text>
        <t>[Threaded comment]
Your version of Excel allows you to read this threaded comment; however, any edits to it will get removed if the file is opened in a newer version of Excel. Learn more: https://go.microsoft.com/fwlink/?linkid=870924
Comment:
    Pulled from https://multco.us/file/90024-27_adopted.pdf/download</t>
      </text>
    </comment>
    <comment ref="L14" authorId="5" shapeId="0" xr:uid="{B52F913E-E6E1-40E2-A429-D19F1A0681F2}">
      <text>
        <t>[Threaded comment]
Your version of Excel allows you to read this threaded comment; however, any edits to it will get removed if the file is opened in a newer version of Excel. Learn more: https://go.microsoft.com/fwlink/?linkid=870924
Comment:
    Pulled from https://multco.us/file/90024-27_adopted.pdf/download</t>
      </text>
    </comment>
    <comment ref="M14" authorId="6" shapeId="0" xr:uid="{D2EB03F4-7B3C-4DA2-85B3-C4A89E086376}">
      <text>
        <t>[Threaded comment]
Your version of Excel allows you to read this threaded comment; however, any edits to it will get removed if the file is opened in a newer version of Excel. Learn more: https://go.microsoft.com/fwlink/?linkid=870924
Comment:
    Pulled from https://multco.us/file/90024-27_adopted.pdf/download</t>
      </text>
    </comment>
    <comment ref="N14" authorId="7" shapeId="0" xr:uid="{E8611CDA-167C-4E45-B21F-D6FC8EF87C52}">
      <text>
        <t xml:space="preserve">[Threaded comment]
Your version of Excel allows you to read this threaded comment; however, any edits to it will get removed if the file is opened in a newer version of Excel. Learn more: https://go.microsoft.com/fwlink/?linkid=870924
Comment:
    Pulled from https://multco.us/file/90024-27_adopted.pdf/download
</t>
      </text>
    </comment>
    <comment ref="A33" authorId="8" shapeId="0" xr:uid="{ED2F2E97-BB9B-40D1-94F1-E9F629931953}">
      <text>
        <t>[Threaded comment]
Your version of Excel allows you to read this threaded comment; however, any edits to it will get removed if the file is opened in a newer version of Excel. Learn more: https://go.microsoft.com/fwlink/?linkid=870924
Comment:
    Extended through 2050 with previous growth assumptions</t>
      </text>
    </comment>
  </commentList>
</comments>
</file>

<file path=xl/sharedStrings.xml><?xml version="1.0" encoding="utf-8"?>
<sst xmlns="http://schemas.openxmlformats.org/spreadsheetml/2006/main" count="439" uniqueCount="129">
  <si>
    <t>Fairview</t>
  </si>
  <si>
    <t>RTP Revenue Category</t>
  </si>
  <si>
    <t>State Revenues</t>
  </si>
  <si>
    <t>RTP Revenue Type</t>
  </si>
  <si>
    <t>City/County Apportionment</t>
  </si>
  <si>
    <t>Local Revenue Source</t>
  </si>
  <si>
    <t>Apportionment</t>
  </si>
  <si>
    <t>State Gas Tax</t>
  </si>
  <si>
    <t>Highway Fund¹</t>
  </si>
  <si>
    <t>Total Revenues</t>
  </si>
  <si>
    <t>O&amp;M Costs</t>
  </si>
  <si>
    <t xml:space="preserve"> Available Revenue (For Capital Projects)</t>
  </si>
  <si>
    <t>Growth Rate</t>
  </si>
  <si>
    <t>Varies</t>
  </si>
  <si>
    <t>N/A</t>
  </si>
  <si>
    <t>FFY 2019</t>
  </si>
  <si>
    <t>FFY 2020</t>
  </si>
  <si>
    <t>FFY 2021</t>
  </si>
  <si>
    <t>FFY 2022</t>
  </si>
  <si>
    <t>FFY 2023</t>
  </si>
  <si>
    <t>FFY 2024</t>
  </si>
  <si>
    <t>FFY 2025</t>
  </si>
  <si>
    <t>FFY 2026</t>
  </si>
  <si>
    <t>FFY 2027</t>
  </si>
  <si>
    <t>FFY 2028</t>
  </si>
  <si>
    <t>FFY 2029</t>
  </si>
  <si>
    <t>FFY 2030</t>
  </si>
  <si>
    <t>FFY 2031</t>
  </si>
  <si>
    <t>FFY 2032</t>
  </si>
  <si>
    <t>FFY 2033</t>
  </si>
  <si>
    <t>FFY 2034</t>
  </si>
  <si>
    <t>FFY 2035</t>
  </si>
  <si>
    <t>FFY 2036</t>
  </si>
  <si>
    <t>FFY 2037</t>
  </si>
  <si>
    <t>FFY 2038</t>
  </si>
  <si>
    <t>FFY 2039</t>
  </si>
  <si>
    <t>FFY 2040</t>
  </si>
  <si>
    <t>FFY 2041</t>
  </si>
  <si>
    <t>FFY 2042</t>
  </si>
  <si>
    <t>FFY 2043</t>
  </si>
  <si>
    <t>FFY 2044</t>
  </si>
  <si>
    <t>FFY 2045</t>
  </si>
  <si>
    <t>FFY 2046</t>
  </si>
  <si>
    <t>FFY 2047</t>
  </si>
  <si>
    <t>FFY 2048</t>
  </si>
  <si>
    <t>FFY 2049</t>
  </si>
  <si>
    <t>FFY 2050</t>
  </si>
  <si>
    <t>Source: Fairview</t>
  </si>
  <si>
    <t>Source: Local Roads Survey</t>
  </si>
  <si>
    <t>RTP Projects Committed Revenues (Prior to FFY 2029)*</t>
  </si>
  <si>
    <t>2029-40</t>
  </si>
  <si>
    <t>2041-50</t>
  </si>
  <si>
    <t>2029-50</t>
  </si>
  <si>
    <t>Notes:</t>
  </si>
  <si>
    <t>¹Growth rate of 0% starting in FFY 2043</t>
  </si>
  <si>
    <t>*Please list RTP Projects included</t>
  </si>
  <si>
    <t>Gresham</t>
  </si>
  <si>
    <t>City Revenues</t>
  </si>
  <si>
    <t>New Development Charge</t>
  </si>
  <si>
    <t>TIF/LID</t>
  </si>
  <si>
    <t>Other/Misc.</t>
  </si>
  <si>
    <t>SDC</t>
  </si>
  <si>
    <t>Developer Contributions</t>
  </si>
  <si>
    <t>Urban Renewal/LID</t>
  </si>
  <si>
    <t>Misc Grants</t>
  </si>
  <si>
    <t>State Gas Tax and VRF</t>
  </si>
  <si>
    <t>County Arterial Transfer</t>
  </si>
  <si>
    <t>Source: Gresham</t>
  </si>
  <si>
    <t>2028 RTP : Maywood Park is expected to have no major transportation revenues or outlays beyond what the County spends on its behalf.</t>
  </si>
  <si>
    <t>Maywood Park</t>
  </si>
  <si>
    <t>Revenue Type 1</t>
  </si>
  <si>
    <t>Revenue Type 2</t>
  </si>
  <si>
    <t>Revenue Type 3</t>
  </si>
  <si>
    <t xml:space="preserve">Source: </t>
  </si>
  <si>
    <t>Portland</t>
  </si>
  <si>
    <t>Parking Fees</t>
  </si>
  <si>
    <t>General Fund</t>
  </si>
  <si>
    <t>Gas Tax</t>
  </si>
  <si>
    <t>Parking Fees¹</t>
  </si>
  <si>
    <t>Private Development</t>
  </si>
  <si>
    <t>System Development Charges</t>
  </si>
  <si>
    <t>Local Improvement Districts</t>
  </si>
  <si>
    <t>Urban Renewal</t>
  </si>
  <si>
    <t>Local Gas Tax</t>
  </si>
  <si>
    <t>State Apportionment</t>
  </si>
  <si>
    <t xml:space="preserve"> Local only revenue sources for capital projects only. Revenues for O&amp;M were not itemized.</t>
  </si>
  <si>
    <t>¹Parking Fees Growth Rate varies through FFY 2028. Growth rate of 2.63% applied from FFY 2029-2050</t>
  </si>
  <si>
    <t>Troutdale</t>
  </si>
  <si>
    <t>SDC-Residential</t>
  </si>
  <si>
    <t>Multnomah IGA</t>
  </si>
  <si>
    <t>Source: Troutdale</t>
  </si>
  <si>
    <t>Wood Village</t>
  </si>
  <si>
    <t>Utility Fee</t>
  </si>
  <si>
    <t>Street Utility Fee</t>
  </si>
  <si>
    <t>Source: Wood Village</t>
  </si>
  <si>
    <t>Source: Wood Village Budgets</t>
  </si>
  <si>
    <t>Notes</t>
  </si>
  <si>
    <t>*Note that Jurisdiction kept gas tax flat at 0.1%. Inflated to 2.2% to be in line with ODOT</t>
  </si>
  <si>
    <t>Multnomah County</t>
  </si>
  <si>
    <t>TBD</t>
  </si>
  <si>
    <t>County Revenues</t>
  </si>
  <si>
    <t>Federal Revenues</t>
  </si>
  <si>
    <t>Vehicle Registration Fee</t>
  </si>
  <si>
    <t xml:space="preserve">Other/Misc. </t>
  </si>
  <si>
    <t>Capital Grant Revenue⁴</t>
  </si>
  <si>
    <t>Vehicle Registration Fees³</t>
  </si>
  <si>
    <t>Sellwood Bond Payments</t>
  </si>
  <si>
    <t>Burnside Bond Payments</t>
  </si>
  <si>
    <t>Net Vehicle Registration Fees</t>
  </si>
  <si>
    <t>Earthquake Ready Burnside Bridge Project Bond Revenue⁵</t>
  </si>
  <si>
    <t>County Gas Tax?</t>
  </si>
  <si>
    <t>Misc. Revenue⁷</t>
  </si>
  <si>
    <t>State Highway Fund¹</t>
  </si>
  <si>
    <t>City of Portland</t>
  </si>
  <si>
    <t>City of Gresham</t>
  </si>
  <si>
    <t>City of Fairview</t>
  </si>
  <si>
    <t>City of Troutdale</t>
  </si>
  <si>
    <t>Net Revenue, State Highway Fund</t>
  </si>
  <si>
    <t>State Gas Tax²</t>
  </si>
  <si>
    <t>RAISE Grant - EQRB Project⁶</t>
  </si>
  <si>
    <t xml:space="preserve"> Available Revenue (For Capital Projects) within MPA</t>
  </si>
  <si>
    <t>Source: Multnomah County</t>
  </si>
  <si>
    <t>¹ State Highway Fund revenue is an ODOT projection through 2029, County projecting a 2% growth each four-year cycle after 2029</t>
  </si>
  <si>
    <t>² Forecasting for a 2.2% growth from 2024-2029. Due to fuel economy restrictions becoming more prevalent, a 1% increase is forecasted for 2030-2043.</t>
  </si>
  <si>
    <t>³ The five years pre-COVID saw annual registrations between 290k-297k. Very consistent collections for a prediction of flat growth.</t>
  </si>
  <si>
    <t>⁴ Capital Grant Revenue forecast is the three-year average of Actuals (2020-2022) with an increase of 2% annually due to increased grant pool funds available and increase cost of goods and services for future projects.</t>
  </si>
  <si>
    <t>⁵ See the EQRB Debt Payment Schedule tab for current funding plans and assumptions.</t>
  </si>
  <si>
    <t>⁶ In addition to the $5m that has already been awarded for the Design phase, there is confidence in being awarded an additional $25m for Construction that would be recognized in 2025. RTP assumes $100M per year in 2024-2028. $5M not counted in Total Revenues for MC, but is captured in Federal Forecast elsewhere.</t>
  </si>
  <si>
    <t>⁷ Miscellaneous Revenue Includes STBG Funds, Forest Service Payments, Permits, Interest Revenue, Contract Compliance Fees, Project Agreements, etc. Forecast is based on four-year average with a conservative 2% growth for inflation.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</si>
</sst>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
    <numFmt numFmtId="165" formatCode="0.0%"/>
    <numFmt numFmtId="166" formatCode="&quot;$&quot;#,##0.0000"/>
  </numFmts>
  <fonts count="13" x14ac:knownFonts="1">
    <font>
      <sz val="11"/>
      <color theme="1"/>
      <name val="Aptos"/>
      <family val="2"/>
      <scheme val="minor"/>
    </font>
    <font>
      <sz val="11"/>
      <color theme="1"/>
      <name val="Aptos"/>
      <family val="2"/>
      <scheme val="minor"/>
    </font>
    <font>
      <b/>
      <sz val="11"/>
      <color theme="1"/>
      <name val="Aptos"/>
      <family val="2"/>
      <scheme val="minor"/>
    </font>
    <font>
      <sz val="11"/>
      <color theme="1"/>
      <name val="Calibri"/>
      <family val="2"/>
    </font>
    <font>
      <sz val="11"/>
      <color theme="0" tint="-0.34998626667073579"/>
      <name val="Aptos"/>
      <family val="2"/>
      <scheme val="minor"/>
    </font>
    <font>
      <sz val="11"/>
      <name val="Aptos"/>
      <family val="2"/>
      <scheme val="minor"/>
    </font>
    <font>
      <sz val="8"/>
      <name val="Aptos"/>
      <family val="2"/>
      <scheme val="minor"/>
    </font>
    <font>
      <b/>
      <sz val="12"/>
      <color theme="0"/>
      <name val="Aptos"/>
      <family val="2"/>
      <scheme val="minor"/>
    </font>
    <font>
      <b/>
      <sz val="11"/>
      <name val="Aptos"/>
      <family val="2"/>
      <scheme val="minor"/>
    </font>
    <font>
      <sz val="11"/>
      <color theme="4"/>
      <name val="Aptos"/>
      <family val="2"/>
      <scheme val="minor"/>
    </font>
    <font>
      <b/>
      <sz val="11"/>
      <color theme="3" tint="9.9978637043366805E-2"/>
      <name val="Aptos"/>
      <family val="2"/>
      <scheme val="minor"/>
    </font>
    <font>
      <sz val="11"/>
      <color theme="3" tint="9.9978637043366805E-2"/>
      <name val="Aptos"/>
      <family val="2"/>
      <scheme val="minor"/>
    </font>
    <font>
      <sz val="11"/>
      <color theme="1" tint="0.499984740745262"/>
      <name val="Aptos"/>
      <family val="2"/>
      <scheme val="minor"/>
    </font>
  </fonts>
  <fills count="5">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3" tint="0.89999084444715716"/>
        <bgColor indexed="64"/>
      </patternFill>
    </fill>
  </fills>
  <borders count="3">
    <border>
      <left/>
      <right/>
      <top/>
      <bottom/>
      <diagonal/>
    </border>
    <border>
      <left/>
      <right/>
      <top/>
      <bottom style="medium">
        <color theme="3"/>
      </bottom>
      <diagonal/>
    </border>
    <border>
      <left/>
      <right/>
      <top style="medium">
        <color theme="3"/>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4">
    <xf numFmtId="0" fontId="0" fillId="0" borderId="0" xfId="0"/>
    <xf numFmtId="0" fontId="0" fillId="0" borderId="0" xfId="0" applyAlignment="1">
      <alignment horizontal="center" wrapText="1"/>
    </xf>
    <xf numFmtId="164" fontId="0" fillId="0" borderId="0" xfId="0" applyNumberFormat="1"/>
    <xf numFmtId="164" fontId="0" fillId="0" borderId="0" xfId="1" applyNumberFormat="1" applyFont="1"/>
    <xf numFmtId="0" fontId="2" fillId="0" borderId="0" xfId="0" applyFont="1"/>
    <xf numFmtId="0" fontId="0" fillId="0" borderId="0" xfId="0" applyAlignment="1">
      <alignment horizontal="center"/>
    </xf>
    <xf numFmtId="0" fontId="2" fillId="0" borderId="0" xfId="0" applyFont="1" applyAlignment="1">
      <alignment horizontal="left"/>
    </xf>
    <xf numFmtId="164" fontId="0" fillId="0" borderId="0" xfId="1" applyNumberFormat="1" applyFont="1" applyFill="1"/>
    <xf numFmtId="0" fontId="2" fillId="2" borderId="0" xfId="0" applyFont="1" applyFill="1"/>
    <xf numFmtId="0" fontId="3" fillId="0" borderId="0" xfId="0" applyFont="1"/>
    <xf numFmtId="164" fontId="4" fillId="0" borderId="0" xfId="1" applyNumberFormat="1" applyFont="1"/>
    <xf numFmtId="164" fontId="4" fillId="0" borderId="0" xfId="0" applyNumberFormat="1" applyFont="1"/>
    <xf numFmtId="0" fontId="0" fillId="2" borderId="0" xfId="0" applyFill="1"/>
    <xf numFmtId="166" fontId="0" fillId="0" borderId="0" xfId="1" applyNumberFormat="1" applyFont="1" applyFill="1"/>
    <xf numFmtId="164" fontId="2" fillId="0" borderId="0" xfId="0" applyNumberFormat="1" applyFont="1"/>
    <xf numFmtId="0" fontId="2" fillId="0" borderId="0" xfId="0" applyFont="1" applyAlignment="1">
      <alignment horizontal="center"/>
    </xf>
    <xf numFmtId="164" fontId="0" fillId="0" borderId="0" xfId="1" applyNumberFormat="1" applyFont="1" applyBorder="1"/>
    <xf numFmtId="164" fontId="0" fillId="0" borderId="0" xfId="1" applyNumberFormat="1" applyFont="1" applyFill="1" applyBorder="1"/>
    <xf numFmtId="0" fontId="7" fillId="3" borderId="0" xfId="0" applyFont="1" applyFill="1" applyAlignment="1">
      <alignment horizontal="center"/>
    </xf>
    <xf numFmtId="9" fontId="0" fillId="0" borderId="1" xfId="0" applyNumberFormat="1" applyBorder="1" applyAlignment="1">
      <alignment horizontal="center" wrapText="1"/>
    </xf>
    <xf numFmtId="10" fontId="0" fillId="0" borderId="1" xfId="0" applyNumberFormat="1" applyBorder="1" applyAlignment="1">
      <alignment horizontal="center" wrapText="1"/>
    </xf>
    <xf numFmtId="0" fontId="0" fillId="0" borderId="1" xfId="0" applyBorder="1" applyAlignment="1">
      <alignment horizontal="center" wrapText="1"/>
    </xf>
    <xf numFmtId="164" fontId="0" fillId="4" borderId="0" xfId="0" applyNumberFormat="1" applyFill="1"/>
    <xf numFmtId="164" fontId="0" fillId="4" borderId="0" xfId="1" applyNumberFormat="1" applyFont="1" applyFill="1"/>
    <xf numFmtId="164" fontId="4" fillId="4" borderId="0" xfId="0" applyNumberFormat="1" applyFont="1" applyFill="1"/>
    <xf numFmtId="164" fontId="4" fillId="4" borderId="0" xfId="1" applyNumberFormat="1" applyFont="1" applyFill="1"/>
    <xf numFmtId="0" fontId="8" fillId="0" borderId="0" xfId="0" applyFont="1" applyAlignment="1">
      <alignment horizontal="center" wrapText="1"/>
    </xf>
    <xf numFmtId="0" fontId="0" fillId="0" borderId="0" xfId="0" applyAlignment="1">
      <alignment horizontal="center" vertical="top"/>
    </xf>
    <xf numFmtId="0" fontId="0" fillId="0" borderId="0" xfId="0" applyAlignment="1">
      <alignment horizontal="center" vertical="top" wrapText="1"/>
    </xf>
    <xf numFmtId="3" fontId="0" fillId="0" borderId="0" xfId="0" applyNumberFormat="1" applyAlignment="1">
      <alignment horizontal="center" vertical="top"/>
    </xf>
    <xf numFmtId="0" fontId="0" fillId="0" borderId="0" xfId="0" applyAlignment="1">
      <alignment vertical="top"/>
    </xf>
    <xf numFmtId="0" fontId="2" fillId="0" borderId="0" xfId="0" applyFont="1" applyAlignment="1">
      <alignment horizontal="left" vertical="top"/>
    </xf>
    <xf numFmtId="0" fontId="0" fillId="2" borderId="0" xfId="0" applyFill="1"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8" fillId="0" borderId="0" xfId="0" applyFont="1" applyAlignment="1">
      <alignment horizontal="center" vertical="top" wrapText="1"/>
    </xf>
    <xf numFmtId="165" fontId="0" fillId="0" borderId="1" xfId="0" applyNumberFormat="1" applyBorder="1" applyAlignment="1">
      <alignment horizontal="center" vertical="top" wrapText="1"/>
    </xf>
    <xf numFmtId="9" fontId="0" fillId="0" borderId="1" xfId="0" applyNumberFormat="1" applyBorder="1" applyAlignment="1">
      <alignment horizontal="center" vertical="top" wrapText="1"/>
    </xf>
    <xf numFmtId="10" fontId="0" fillId="0" borderId="1" xfId="0" applyNumberFormat="1" applyBorder="1" applyAlignment="1">
      <alignment horizontal="center" vertical="top" wrapText="1"/>
    </xf>
    <xf numFmtId="0" fontId="2" fillId="0" borderId="1" xfId="0" applyFont="1" applyBorder="1" applyAlignment="1">
      <alignment horizontal="center" vertical="top" wrapText="1"/>
    </xf>
    <xf numFmtId="0" fontId="0" fillId="0" borderId="1" xfId="0" applyBorder="1" applyAlignment="1">
      <alignment horizontal="center" vertical="top" wrapText="1"/>
    </xf>
    <xf numFmtId="0" fontId="8" fillId="0" borderId="1" xfId="0" applyFont="1" applyBorder="1" applyAlignment="1">
      <alignment horizontal="center" vertical="top" wrapText="1"/>
    </xf>
    <xf numFmtId="0" fontId="2" fillId="4" borderId="0" xfId="0" applyFont="1" applyFill="1" applyAlignment="1">
      <alignment horizontal="center"/>
    </xf>
    <xf numFmtId="0" fontId="2" fillId="0" borderId="0" xfId="0" applyFont="1" applyAlignment="1">
      <alignment vertical="top"/>
    </xf>
    <xf numFmtId="164" fontId="2" fillId="0" borderId="0" xfId="1" applyNumberFormat="1" applyFont="1"/>
    <xf numFmtId="3" fontId="0" fillId="0" borderId="0" xfId="0" applyNumberFormat="1" applyAlignment="1">
      <alignment horizontal="center" vertical="top" wrapText="1"/>
    </xf>
    <xf numFmtId="165" fontId="0" fillId="0" borderId="1" xfId="2" applyNumberFormat="1" applyFont="1" applyBorder="1" applyAlignment="1">
      <alignment horizontal="center" wrapText="1"/>
    </xf>
    <xf numFmtId="10" fontId="0" fillId="2" borderId="1" xfId="0" applyNumberFormat="1" applyFill="1" applyBorder="1" applyAlignment="1">
      <alignment horizontal="center" wrapText="1"/>
    </xf>
    <xf numFmtId="0" fontId="0" fillId="0" borderId="1" xfId="0" applyBorder="1"/>
    <xf numFmtId="10" fontId="4" fillId="0" borderId="1" xfId="0" applyNumberFormat="1" applyFont="1" applyBorder="1" applyAlignment="1">
      <alignment horizontal="center" wrapText="1"/>
    </xf>
    <xf numFmtId="0" fontId="4" fillId="0" borderId="0" xfId="0" applyFont="1" applyAlignment="1">
      <alignment horizontal="center" vertical="top" wrapText="1"/>
    </xf>
    <xf numFmtId="0" fontId="0" fillId="2" borderId="0" xfId="0" applyFill="1" applyAlignment="1">
      <alignment horizontal="center" vertical="top"/>
    </xf>
    <xf numFmtId="0" fontId="2" fillId="2" borderId="0" xfId="0" applyFont="1" applyFill="1" applyAlignment="1">
      <alignment horizontal="center" vertical="top"/>
    </xf>
    <xf numFmtId="0" fontId="2" fillId="2" borderId="0" xfId="0" applyFont="1" applyFill="1" applyAlignment="1">
      <alignment horizontal="center" vertical="top" wrapText="1"/>
    </xf>
    <xf numFmtId="164" fontId="9" fillId="0" borderId="0" xfId="1" applyNumberFormat="1" applyFont="1"/>
    <xf numFmtId="0" fontId="9" fillId="0" borderId="0" xfId="0" applyFont="1"/>
    <xf numFmtId="0" fontId="10" fillId="0" borderId="2" xfId="0" applyFont="1" applyBorder="1"/>
    <xf numFmtId="0" fontId="10" fillId="0" borderId="0" xfId="0" applyFont="1" applyAlignment="1">
      <alignment horizontal="center"/>
    </xf>
    <xf numFmtId="164" fontId="11" fillId="0" borderId="0" xfId="0" applyNumberFormat="1" applyFont="1"/>
    <xf numFmtId="164" fontId="11" fillId="0" borderId="0" xfId="1" applyNumberFormat="1" applyFont="1"/>
    <xf numFmtId="164" fontId="11" fillId="0" borderId="0" xfId="1" applyNumberFormat="1" applyFont="1" applyFill="1"/>
    <xf numFmtId="0" fontId="11" fillId="0" borderId="0" xfId="0" applyFont="1"/>
    <xf numFmtId="0" fontId="10" fillId="0" borderId="0" xfId="0" applyFont="1" applyAlignment="1">
      <alignment horizontal="center" vertical="top" wrapText="1"/>
    </xf>
    <xf numFmtId="164" fontId="0" fillId="2" borderId="0" xfId="0" applyNumberFormat="1" applyFill="1"/>
    <xf numFmtId="164" fontId="0" fillId="2" borderId="0" xfId="0" applyNumberFormat="1" applyFill="1" applyAlignment="1">
      <alignment horizontal="left"/>
    </xf>
    <xf numFmtId="0" fontId="2" fillId="0" borderId="1" xfId="0" applyFont="1" applyBorder="1" applyAlignment="1">
      <alignment horizontal="center"/>
    </xf>
    <xf numFmtId="164" fontId="0" fillId="0" borderId="1" xfId="0" applyNumberFormat="1" applyBorder="1"/>
    <xf numFmtId="164" fontId="11" fillId="0" borderId="0" xfId="1" applyNumberFormat="1" applyFont="1" applyBorder="1"/>
    <xf numFmtId="0" fontId="2" fillId="2" borderId="0" xfId="0" applyFont="1" applyFill="1" applyAlignment="1">
      <alignment horizontal="center"/>
    </xf>
    <xf numFmtId="165" fontId="0" fillId="2" borderId="1" xfId="2" applyNumberFormat="1" applyFont="1" applyFill="1" applyBorder="1" applyAlignment="1">
      <alignment horizontal="center" wrapText="1"/>
    </xf>
    <xf numFmtId="164" fontId="5" fillId="0" borderId="0" xfId="1" applyNumberFormat="1" applyFont="1"/>
    <xf numFmtId="164" fontId="5" fillId="4" borderId="0" xfId="1" applyNumberFormat="1" applyFont="1" applyFill="1"/>
    <xf numFmtId="0" fontId="7" fillId="0" borderId="0" xfId="0" applyFont="1" applyAlignment="1">
      <alignment horizontal="center"/>
    </xf>
    <xf numFmtId="0" fontId="8" fillId="2" borderId="0" xfId="0" applyFont="1" applyFill="1" applyAlignment="1">
      <alignment horizontal="center" vertical="top" wrapText="1"/>
    </xf>
    <xf numFmtId="0" fontId="0" fillId="4" borderId="0" xfId="0" applyFill="1"/>
    <xf numFmtId="165" fontId="4" fillId="0" borderId="1" xfId="0" applyNumberFormat="1" applyFont="1" applyBorder="1" applyAlignment="1">
      <alignment horizontal="center" wrapText="1"/>
    </xf>
    <xf numFmtId="165" fontId="0" fillId="0" borderId="1" xfId="0" applyNumberFormat="1" applyBorder="1" applyAlignment="1">
      <alignment horizontal="center" wrapText="1"/>
    </xf>
    <xf numFmtId="0" fontId="5" fillId="0" borderId="0" xfId="0" applyFont="1" applyAlignment="1">
      <alignment horizontal="center" vertical="top" wrapText="1"/>
    </xf>
    <xf numFmtId="10" fontId="5" fillId="0" borderId="1" xfId="0" applyNumberFormat="1" applyFont="1" applyBorder="1" applyAlignment="1">
      <alignment horizontal="center" vertical="top" wrapText="1"/>
    </xf>
    <xf numFmtId="164" fontId="0" fillId="0" borderId="0" xfId="0" applyNumberFormat="1" applyAlignment="1">
      <alignment horizontal="center"/>
    </xf>
    <xf numFmtId="164" fontId="11" fillId="0" borderId="0" xfId="0" applyNumberFormat="1" applyFont="1" applyAlignment="1">
      <alignment horizontal="center"/>
    </xf>
    <xf numFmtId="0" fontId="12" fillId="0" borderId="0" xfId="0" applyFont="1" applyAlignment="1">
      <alignment horizontal="center" vertical="top" wrapText="1"/>
    </xf>
    <xf numFmtId="10" fontId="12" fillId="0" borderId="1" xfId="0" applyNumberFormat="1" applyFont="1" applyBorder="1" applyAlignment="1">
      <alignment horizontal="center" wrapText="1"/>
    </xf>
    <xf numFmtId="164" fontId="12" fillId="0" borderId="0" xfId="1" applyNumberFormat="1" applyFont="1"/>
    <xf numFmtId="164" fontId="12" fillId="4" borderId="0" xfId="1" applyNumberFormat="1" applyFont="1" applyFill="1"/>
    <xf numFmtId="164" fontId="0" fillId="4" borderId="0" xfId="0" applyNumberFormat="1" applyFill="1" applyAlignment="1">
      <alignment horizontal="center"/>
    </xf>
    <xf numFmtId="164" fontId="11" fillId="2" borderId="0" xfId="1" applyNumberFormat="1" applyFont="1" applyFill="1"/>
    <xf numFmtId="0" fontId="7" fillId="3" borderId="0" xfId="0" applyFont="1" applyFill="1" applyAlignment="1">
      <alignment horizontal="center"/>
    </xf>
    <xf numFmtId="0" fontId="2" fillId="0" borderId="0" xfId="0" applyFont="1" applyAlignment="1">
      <alignment horizontal="center"/>
    </xf>
    <xf numFmtId="0" fontId="0" fillId="0" borderId="0" xfId="0" applyAlignment="1">
      <alignment horizontal="center" vertical="top"/>
    </xf>
    <xf numFmtId="3" fontId="2" fillId="0" borderId="0" xfId="0" applyNumberFormat="1" applyFont="1" applyAlignment="1">
      <alignment horizontal="center"/>
    </xf>
    <xf numFmtId="0" fontId="2" fillId="0" borderId="0" xfId="0" applyFont="1" applyAlignment="1">
      <alignment horizontal="center" vertical="top"/>
    </xf>
    <xf numFmtId="3" fontId="0" fillId="0" borderId="0" xfId="0" applyNumberFormat="1" applyAlignment="1">
      <alignment horizontal="center" vertical="top" wrapText="1"/>
    </xf>
    <xf numFmtId="0" fontId="0" fillId="0" borderId="0" xfId="0" applyAlignment="1">
      <alignment horizontal="center" vertical="top" wrapText="1"/>
    </xf>
  </cellXfs>
  <cellStyles count="3">
    <cellStyle name="Currency" xfId="1" builtinId="4"/>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Blake Perez" id="{CB567C00-0B55-4F96-AEF9-525F66912F1D}" userId="S::Blake.Perez@oregonmetro.gov::3303f0eb-5729-4520-bd53-eb088017a8cd" providerId="AD"/>
  <person displayName="Blake Perez" id="{BCD8E69D-31BB-4F7B-A020-82FDE5058B9E}" userId="S::blake.perez@oregonmetro.gov::3303f0eb-5729-4520-bd53-eb088017a8cd" providerId="AD"/>
  <person displayName="Lake McTighe" id="{A7C19708-D2FC-403D-AE5A-095569183F9D}" userId="S::Lake.McTighe@oregonmetro.gov::093e418b-6f30-4c59-9e06-f0db04ba0f2a" providerId="AD"/>
  <person displayName="Gabriela Lopez" id="{262A8A35-0827-4935-9CEF-F4EE77E2C4BB}" userId="S::Gabriela.Lopez@oregonmetro.gov::31c28f23-53ee-4b93-b693-52259f71550c" providerId="AD"/>
</personList>
</file>

<file path=xl/theme/theme1.xml><?xml version="1.0" encoding="utf-8"?>
<a:theme xmlns:a="http://schemas.openxmlformats.org/drawingml/2006/main" name="Theme1">
  <a:themeElements>
    <a:clrScheme name="Metro Colors">
      <a:dk1>
        <a:srgbClr val="000000"/>
      </a:dk1>
      <a:lt1>
        <a:srgbClr val="FFFFFF"/>
      </a:lt1>
      <a:dk2>
        <a:srgbClr val="003A61"/>
      </a:dk2>
      <a:lt2>
        <a:srgbClr val="E8E8E8"/>
      </a:lt2>
      <a:accent1>
        <a:srgbClr val="D7D2C3"/>
      </a:accent1>
      <a:accent2>
        <a:srgbClr val="40C3E0"/>
      </a:accent2>
      <a:accent3>
        <a:srgbClr val="B2D234"/>
      </a:accent3>
      <a:accent4>
        <a:srgbClr val="FFCB43"/>
      </a:accent4>
      <a:accent5>
        <a:srgbClr val="F79E88"/>
      </a:accent5>
      <a:accent6>
        <a:srgbClr val="A5B5DD"/>
      </a:accent6>
      <a:hlink>
        <a:srgbClr val="40C3E0"/>
      </a:hlink>
      <a:folHlink>
        <a:srgbClr val="B5E3F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spAutoFit/>
      </a:bodyPr>
      <a:lstStyle>
        <a:defPPr algn="l">
          <a:defRPr sz="1800" b="0" i="0" dirty="0" err="1" smtClean="0">
            <a:solidFill>
              <a:schemeClr val="tx2"/>
            </a:solidFill>
            <a:latin typeface="Public Sans" pitchFamily="2" charset="77"/>
          </a:defRPr>
        </a:defPPr>
      </a:lstStyle>
    </a:txDef>
  </a:objectDefaults>
  <a:extraClrSchemeLst/>
  <a:extLst>
    <a:ext uri="{05A4C25C-085E-4340-85A3-A5531E510DB2}">
      <thm15:themeFamily xmlns:thm15="http://schemas.microsoft.com/office/thememl/2012/main" name="Theme1" id="{4F76DC14-2570-455F-91C3-614B841614EE}" vid="{1E5E33A2-F773-473E-A8F8-2CDB1A6EFDC0}"/>
    </a:ext>
  </a:extLst>
</a:theme>
</file>

<file path=xl/threadedComments/threadedComment1.xml><?xml version="1.0" encoding="utf-8"?>
<ThreadedComments xmlns="http://schemas.microsoft.com/office/spreadsheetml/2018/threadedcomments" xmlns:x="http://schemas.openxmlformats.org/spreadsheetml/2006/main">
  <threadedComment ref="H4" dT="2026-08-03T22:42:55.68" personId="{262A8A35-0827-4935-9CEF-F4EE77E2C4BB}" id="{0F7B3286-E557-4889-AB8B-EC2A280C8D1E}">
    <text>(Total Revenues - O&amp;M Costs)</text>
  </threadedComment>
  <threadedComment ref="A33" dT="2026-08-04T21:39:15.45" personId="{262A8A35-0827-4935-9CEF-F4EE77E2C4BB}" id="{AC427F4A-F60A-4566-873E-625CFBD478D6}">
    <text>Extended through 2050 with previous growth assumptions</text>
  </threadedComment>
</ThreadedComments>
</file>

<file path=xl/threadedComments/threadedComment2.xml><?xml version="1.0" encoding="utf-8"?>
<ThreadedComments xmlns="http://schemas.microsoft.com/office/spreadsheetml/2018/threadedcomments" xmlns:x="http://schemas.openxmlformats.org/spreadsheetml/2006/main">
  <threadedComment ref="C4" dT="2026-08-04T01:39:25.37" personId="{A7C19708-D2FC-403D-AE5A-095569183F9D}" id="{45CE05CD-370E-4548-96EE-69DC0C61E197}">
    <text>How are these different than SDCs?</text>
  </threadedComment>
  <threadedComment ref="G4" dT="2026-08-04T01:33:10.90" personId="{A7C19708-D2FC-403D-AE5A-095569183F9D}" id="{00049332-6B85-46A8-9FF5-C00394BBF98F}">
    <text>The source of these funds is the state apportionment. Multnomah County uses Intergovernmental Agreements (IGAs) to pass State Highway Fund money and local gas taxes to the cities of Portland, Gresham, Troutdale, and Fairview. This revenue comes from gas taxes, registration fees, and weigh-mile taxes. These payments are required because the County transferred 607 miles of road to these cities between 1984 and 2024. State law (ORS 366) strictly mandates that these funds can only be spent on building, maintaining, and operating public streets. For FY  2027, the estimated payments are:- Portland: $31,297,477- Gresham: $5,032,580- Troutdale: $22,849- Fairview: $18,535
https://multco.us/file/90024-27_adopted.pdf/download</text>
    <extLst>
      <x:ext xmlns:xltc2="http://schemas.microsoft.com/office/spreadsheetml/2020/threadedcomments2" uri="{F7C98A9C-CBB3-438F-8F68-D28B6AF4A901}">
        <xltc2:checksum>491219422</xltc2:checksum>
        <xltc2:hyperlink startIndex="673" length="52" url="https://multco.us/file/90024-27_adopted.pdf/download"/>
      </x:ext>
    </extLst>
  </threadedComment>
  <threadedComment ref="K4" dT="2026-08-03T22:42:55.68" personId="{262A8A35-0827-4935-9CEF-F4EE77E2C4BB}" id="{60A1096D-EED8-4D0B-8612-6389D569CC7E}">
    <text>(Total Revenues - O&amp;M Costs)</text>
  </threadedComment>
  <threadedComment ref="F12" dT="2026-08-15T00:02:35.37" personId="{BCD8E69D-31BB-4F7B-A020-82FDE5058B9E}" id="{4039A43A-45AD-4A27-83C9-2C1662C1E263}">
    <text xml:space="preserve">Pulled from https://www.oregon.gov/odot/Data/Revenue%20Forecasts%20%20Economic%20Reports/City%20County%20Apportionment_2604.pdf
</text>
    <extLst>
      <x:ext xmlns:xltc2="http://schemas.microsoft.com/office/spreadsheetml/2020/threadedcomments2" uri="{F7C98A9C-CBB3-438F-8F68-D28B6AF4A901}">
        <xltc2:checksum>1731429833</xltc2:checksum>
        <xltc2:hyperlink startIndex="12" length="115" url="https://www.oregon.gov/odot/Data/Revenue%20Forecasts%20%20Economic%20Reports/City%20County%20Apportionment_2604.pdf"/>
      </x:ext>
    </extLst>
  </threadedComment>
  <threadedComment ref="G14" dT="2026-08-14T23:57:54.65" personId="{BCD8E69D-31BB-4F7B-A020-82FDE5058B9E}" id="{3D82F3B2-D862-42AB-9791-348FB72E5CA8}">
    <text xml:space="preserve">Pulled from https://multco.us/file/90024-27_adopted.pdf/download
</text>
    <extLst>
      <x:ext xmlns:xltc2="http://schemas.microsoft.com/office/spreadsheetml/2020/threadedcomments2" uri="{F7C98A9C-CBB3-438F-8F68-D28B6AF4A901}">
        <xltc2:checksum>1382084611</xltc2:checksum>
        <xltc2:hyperlink startIndex="12" length="52" url="https://multco.us/file/90024-27_adopted.pdf/download"/>
      </x:ext>
    </extLst>
  </threadedComment>
  <threadedComment ref="A33" dT="2026-08-04T21:39:15.45" personId="{262A8A35-0827-4935-9CEF-F4EE77E2C4BB}" id="{CAA8D62E-4A92-4A1D-82FC-BDA70D9099CC}">
    <text>Extended through 2050 with previous growth assumptions</text>
  </threadedComment>
</ThreadedComments>
</file>

<file path=xl/threadedComments/threadedComment3.xml><?xml version="1.0" encoding="utf-8"?>
<ThreadedComments xmlns="http://schemas.microsoft.com/office/spreadsheetml/2018/threadedcomments" xmlns:x="http://schemas.openxmlformats.org/spreadsheetml/2006/main">
  <threadedComment ref="H5" dT="2026-08-03T22:42:55.68" personId="{262A8A35-0827-4935-9CEF-F4EE77E2C4BB}" id="{42619618-A028-446C-A73A-75E9BE704DB0}">
    <text>(Total Revenues - O&amp;M Costs)</text>
  </threadedComment>
</ThreadedComments>
</file>

<file path=xl/threadedComments/threadedComment4.xml><?xml version="1.0" encoding="utf-8"?>
<ThreadedComments xmlns="http://schemas.microsoft.com/office/spreadsheetml/2018/threadedcomments" xmlns:x="http://schemas.openxmlformats.org/spreadsheetml/2006/main">
  <threadedComment ref="M4" dT="2026-08-03T22:42:55.68" personId="{262A8A35-0827-4935-9CEF-F4EE77E2C4BB}" id="{8C6FEF95-B669-4C70-AA1F-F4AB6062F576}">
    <text>(Total Revenues - O&amp;M Costs)</text>
  </threadedComment>
  <threadedComment ref="I12" dT="2026-08-14T23:49:55.64" personId="{BCD8E69D-31BB-4F7B-A020-82FDE5058B9E}" id="{5E5D33D8-471C-457F-9716-8959DE80FFE8}">
    <text xml:space="preserve">Pulled from https://www.oregon.gov/odot/Data/Revenue%20Forecasts%20%20Economic%20Reports/City%20County%20Apportionment_2604.pdf
</text>
    <extLst>
      <x:ext xmlns:xltc2="http://schemas.microsoft.com/office/spreadsheetml/2020/threadedcomments2" uri="{F7C98A9C-CBB3-438F-8F68-D28B6AF4A901}">
        <xltc2:checksum>1731429833</xltc2:checksum>
        <xltc2:hyperlink startIndex="12" length="115" url="https://www.oregon.gov/odot/Data/Revenue%20Forecasts%20%20Economic%20Reports/City%20County%20Apportionment_2604.pdf"/>
      </x:ext>
    </extLst>
  </threadedComment>
  <threadedComment ref="A33" dT="2026-08-04T21:39:15.45" personId="{262A8A35-0827-4935-9CEF-F4EE77E2C4BB}" id="{44DA5F02-F32E-41A0-B155-50C472611FE1}">
    <text>Extended through 2050 with previous growth assumptions</text>
  </threadedComment>
</ThreadedComments>
</file>

<file path=xl/threadedComments/threadedComment5.xml><?xml version="1.0" encoding="utf-8"?>
<ThreadedComments xmlns="http://schemas.microsoft.com/office/spreadsheetml/2018/threadedcomments" xmlns:x="http://schemas.openxmlformats.org/spreadsheetml/2006/main">
  <threadedComment ref="E4" dT="2026-08-04T21:35:56.19" personId="{262A8A35-0827-4935-9CEF-F4EE77E2C4BB}" id="{BAB67A60-9DA7-400A-9383-CCDD8617D686}">
    <text>Need to confirm sources</text>
  </threadedComment>
  <threadedComment ref="G4" dT="2026-08-04T01:36:29.74" personId="{A7C19708-D2FC-403D-AE5A-095569183F9D}" id="{734C1EDE-6D3C-45B8-AD8C-E6A5B2F3241C}">
    <text>Multnomah County uses Intergovernmental Agreements (IGAs) to pass State Highway Fund money and local gas taxes to the cities of Portland, Gresham, Troutdale, and Fairview. This revenue comes from gas taxes, registration fees, and weigh-mile taxes. These payments are required because the County transferred 607 miles of road to these cities between 1984 and 2024. State law (ORS 366) strictly mandates that these funds can only be spent on building, maintaining, and operating public streets. https://multco.us/file/90024-27_adopted.pdf/download</text>
    <extLst>
      <x:ext xmlns:xltc2="http://schemas.microsoft.com/office/spreadsheetml/2020/threadedcomments2" uri="{F7C98A9C-CBB3-438F-8F68-D28B6AF4A901}">
        <xltc2:checksum>3441506302</xltc2:checksum>
        <xltc2:hyperlink startIndex="493" length="52" url="https://multco.us/file/90024-27_adopted.pdf/download"/>
      </x:ext>
    </extLst>
  </threadedComment>
  <threadedComment ref="K4" dT="2026-08-03T22:42:55.68" personId="{262A8A35-0827-4935-9CEF-F4EE77E2C4BB}" id="{8D93AB92-FDCD-41B2-967A-0262A47229F3}">
    <text>(Total Revenues - O&amp;M Costs)</text>
  </threadedComment>
  <threadedComment ref="F12" dT="2026-08-15T00:11:16.37" personId="{BCD8E69D-31BB-4F7B-A020-82FDE5058B9E}" id="{2C154BC7-B26A-4FB7-B4CE-208FD2C65C83}">
    <text xml:space="preserve">Pulled from https://www.oregon.gov/odot/Data/Revenue%20Forecasts%20%20Economic%20Reports/City%20County%20Apportionment_2604.pdf
</text>
    <extLst>
      <x:ext xmlns:xltc2="http://schemas.microsoft.com/office/spreadsheetml/2020/threadedcomments2" uri="{F7C98A9C-CBB3-438F-8F68-D28B6AF4A901}">
        <xltc2:checksum>1731429833</xltc2:checksum>
        <xltc2:hyperlink startIndex="12" length="115" url="https://www.oregon.gov/odot/Data/Revenue%20Forecasts%20%20Economic%20Reports/City%20County%20Apportionment_2604.pdf"/>
      </x:ext>
    </extLst>
  </threadedComment>
  <threadedComment ref="G14" dT="2026-08-15T00:09:08.27" personId="{BCD8E69D-31BB-4F7B-A020-82FDE5058B9E}" id="{B0EBC6D7-DD72-4164-A3CE-12943D7C73A9}">
    <text xml:space="preserve">Pulled from https://multco.us/file/90024-27_adopted.pdf/download
</text>
    <extLst>
      <x:ext xmlns:xltc2="http://schemas.microsoft.com/office/spreadsheetml/2020/threadedcomments2" uri="{F7C98A9C-CBB3-438F-8F68-D28B6AF4A901}">
        <xltc2:checksum>1382084611</xltc2:checksum>
        <xltc2:hyperlink startIndex="12" length="52" url="https://multco.us/file/90024-27_adopted.pdf/download"/>
      </x:ext>
    </extLst>
  </threadedComment>
  <threadedComment ref="A33" dT="2026-08-04T21:39:15.45" personId="{262A8A35-0827-4935-9CEF-F4EE77E2C4BB}" id="{57DC2D36-A1BE-4B60-994D-358480A759A7}">
    <text>Extended through 2050 with previous growth assumptions</text>
  </threadedComment>
</ThreadedComments>
</file>

<file path=xl/threadedComments/threadedComment6.xml><?xml version="1.0" encoding="utf-8"?>
<ThreadedComments xmlns="http://schemas.microsoft.com/office/spreadsheetml/2018/threadedcomments" xmlns:x="http://schemas.openxmlformats.org/spreadsheetml/2006/main">
  <threadedComment ref="G4" dT="2026-08-03T22:42:55.68" personId="{262A8A35-0827-4935-9CEF-F4EE77E2C4BB}" id="{53A53C0A-8979-4727-8D8C-295C88680DB8}">
    <text>(Total Revenues - O&amp;M Costs)</text>
  </threadedComment>
  <threadedComment ref="A33" dT="2026-08-04T21:39:15.45" personId="{262A8A35-0827-4935-9CEF-F4EE77E2C4BB}" id="{5976C525-1611-4669-AE34-46BA49D38A55}">
    <text>Extended through 2050 with previous growth assumptions</text>
  </threadedComment>
</ThreadedComments>
</file>

<file path=xl/threadedComments/threadedComment7.xml><?xml version="1.0" encoding="utf-8"?>
<ThreadedComments xmlns="http://schemas.microsoft.com/office/spreadsheetml/2018/threadedcomments" xmlns:x="http://schemas.openxmlformats.org/spreadsheetml/2006/main">
  <threadedComment ref="H4" dT="2026-08-06T16:09:34.40" personId="{262A8A35-0827-4935-9CEF-F4EE77E2C4BB}" id="{9CAA7EB6-4C38-4411-8F4A-6839FA159278}">
    <text>3 Cents per gallon per State documents</text>
  </threadedComment>
  <threadedComment ref="H4" dT="2026-08-14T20:36:10.52" personId="{CB567C00-0B55-4F96-AEF9-525F66912F1D}" id="{B557C618-B293-4977-8C03-D624F656ABD6}" parentId="{9CAA7EB6-4C38-4411-8F4A-6839FA159278}">
    <text>Is this reflected in column L? Labeled State Gas Tax.</text>
  </threadedComment>
  <threadedComment ref="N4" dT="2026-08-05T16:22:01.24" personId="{262A8A35-0827-4935-9CEF-F4EE77E2C4BB}" id="{47FFD7EC-206A-4AEA-82AC-7C48242F6782}">
    <text>Do not match City of Troutdale tab Revenue under “Multnomah IGA”</text>
  </threadedComment>
  <threadedComment ref="V4" dT="2026-08-03T22:42:55.68" personId="{262A8A35-0827-4935-9CEF-F4EE77E2C4BB}" id="{37FF1B08-10E2-4338-9C51-33594570E42C}">
    <text>(Total Revenues - O&amp;M Costs)</text>
  </threadedComment>
  <threadedComment ref="J14" dT="2026-08-14T23:27:54.02" personId="{BCD8E69D-31BB-4F7B-A020-82FDE5058B9E}" id="{B93D8098-1F0C-4884-A14B-8BB0D7E8FE3E}">
    <text xml:space="preserve">Pulled from https://www.oregon.gov/odot/Data/Revenue%20Forecasts%20%20Economic%20Reports/City%20County%20Apportionment_2604.pdf
</text>
    <extLst>
      <x:ext xmlns:xltc2="http://schemas.microsoft.com/office/spreadsheetml/2020/threadedcomments2" uri="{F7C98A9C-CBB3-438F-8F68-D28B6AF4A901}">
        <xltc2:checksum>1731429833</xltc2:checksum>
        <xltc2:hyperlink startIndex="12" length="115" url="https://www.oregon.gov/odot/Data/Revenue%20Forecasts%20%20Economic%20Reports/City%20County%20Apportionment_2604.pdf"/>
      </x:ext>
    </extLst>
  </threadedComment>
  <threadedComment ref="K14" dT="2026-08-14T23:19:26.93" personId="{BCD8E69D-31BB-4F7B-A020-82FDE5058B9E}" id="{03493FE0-A8D7-4228-B9FB-CE718D6C748D}">
    <text>Pulled from https://multco.us/file/90024-27_adopted.pdf/download</text>
  </threadedComment>
  <threadedComment ref="L14" dT="2026-08-14T23:23:30.69" personId="{BCD8E69D-31BB-4F7B-A020-82FDE5058B9E}" id="{B52F913E-E6E1-40E2-A429-D19F1A0681F2}">
    <text>Pulled from https://multco.us/file/90024-27_adopted.pdf/download</text>
  </threadedComment>
  <threadedComment ref="M14" dT="2026-08-14T23:24:36.02" personId="{BCD8E69D-31BB-4F7B-A020-82FDE5058B9E}" id="{D2EB03F4-7B3C-4DA2-85B3-C4A89E086376}">
    <text>Pulled from https://multco.us/file/90024-27_adopted.pdf/download</text>
  </threadedComment>
  <threadedComment ref="N14" dT="2026-08-14T23:25:23.06" personId="{BCD8E69D-31BB-4F7B-A020-82FDE5058B9E}" id="{E8611CDA-167C-4E45-B21F-D6FC8EF87C52}">
    <text xml:space="preserve">Pulled from https://multco.us/file/90024-27_adopted.pdf/download
</text>
    <extLst>
      <x:ext xmlns:xltc2="http://schemas.microsoft.com/office/spreadsheetml/2020/threadedcomments2" uri="{F7C98A9C-CBB3-438F-8F68-D28B6AF4A901}">
        <xltc2:checksum>1382084611</xltc2:checksum>
        <xltc2:hyperlink startIndex="12" length="52" url="https://multco.us/file/90024-27_adopted.pdf/download"/>
      </x:ext>
    </extLst>
  </threadedComment>
  <threadedComment ref="A33" dT="2026-08-04T21:39:15.45" personId="{262A8A35-0827-4935-9CEF-F4EE77E2C4BB}" id="{ED2F2E97-BB9B-40D1-94F1-E9F629931953}">
    <text>Extended through 2050 with previous growth assumptions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39D00-91D5-449C-9B6A-423416D48BBC}">
  <dimension ref="A1:I47"/>
  <sheetViews>
    <sheetView zoomScale="130" zoomScaleNormal="130" workbookViewId="0">
      <selection activeCell="J24" sqref="J24"/>
    </sheetView>
  </sheetViews>
  <sheetFormatPr defaultRowHeight="15" x14ac:dyDescent="0.25"/>
  <cols>
    <col min="1" max="2" width="21.25" customWidth="1"/>
    <col min="3" max="3" width="13" customWidth="1"/>
    <col min="4" max="4" width="13.625" customWidth="1"/>
    <col min="5" max="5" width="7.5" customWidth="1"/>
    <col min="6" max="6" width="14.375" customWidth="1"/>
    <col min="7" max="7" width="13" customWidth="1"/>
    <col min="8" max="8" width="14.875" customWidth="1"/>
  </cols>
  <sheetData>
    <row r="1" spans="1:9" s="4" customFormat="1" ht="15.75" x14ac:dyDescent="0.25">
      <c r="A1" s="87" t="s">
        <v>0</v>
      </c>
      <c r="B1" s="87"/>
      <c r="C1" s="87"/>
      <c r="D1" s="87"/>
      <c r="E1" s="87"/>
      <c r="F1" s="87"/>
      <c r="G1" s="87"/>
      <c r="H1" s="87"/>
    </row>
    <row r="2" spans="1:9" s="4" customFormat="1" x14ac:dyDescent="0.25">
      <c r="A2" s="26" t="s">
        <v>1</v>
      </c>
      <c r="B2" s="26"/>
      <c r="C2" s="91" t="s">
        <v>2</v>
      </c>
      <c r="D2" s="91"/>
      <c r="E2" s="43"/>
      <c r="F2" s="43"/>
      <c r="G2" s="43"/>
      <c r="H2" s="43"/>
    </row>
    <row r="3" spans="1:9" x14ac:dyDescent="0.25">
      <c r="A3" s="35" t="s">
        <v>3</v>
      </c>
      <c r="B3" s="89" t="s">
        <v>4</v>
      </c>
      <c r="C3" s="89"/>
      <c r="D3" s="89"/>
      <c r="E3" s="30"/>
      <c r="F3" s="30"/>
      <c r="G3" s="31"/>
      <c r="H3" s="27"/>
    </row>
    <row r="4" spans="1:9" ht="60" x14ac:dyDescent="0.25">
      <c r="A4" s="35" t="s">
        <v>5</v>
      </c>
      <c r="B4" s="77" t="s">
        <v>6</v>
      </c>
      <c r="C4" s="81" t="s">
        <v>7</v>
      </c>
      <c r="D4" s="81" t="s">
        <v>8</v>
      </c>
      <c r="E4" s="28"/>
      <c r="F4" s="34" t="s">
        <v>9</v>
      </c>
      <c r="G4" s="34" t="s">
        <v>10</v>
      </c>
      <c r="H4" s="35" t="s">
        <v>11</v>
      </c>
      <c r="I4" s="1"/>
    </row>
    <row r="5" spans="1:9" x14ac:dyDescent="0.25">
      <c r="A5" s="41" t="s">
        <v>12</v>
      </c>
      <c r="B5" s="78">
        <v>2.1999999999999999E-2</v>
      </c>
      <c r="C5" s="82">
        <v>2.1999999999999999E-2</v>
      </c>
      <c r="D5" s="82" t="s">
        <v>13</v>
      </c>
      <c r="E5" s="21"/>
      <c r="F5" s="21"/>
      <c r="G5" s="20">
        <v>3.3000000000000002E-2</v>
      </c>
      <c r="H5" s="21" t="s">
        <v>14</v>
      </c>
      <c r="I5" s="1"/>
    </row>
    <row r="6" spans="1:9" x14ac:dyDescent="0.25">
      <c r="A6" s="57" t="s">
        <v>15</v>
      </c>
      <c r="B6" s="57"/>
      <c r="C6" s="83"/>
      <c r="D6" s="83"/>
      <c r="E6" s="59"/>
      <c r="F6" s="59"/>
      <c r="G6" s="58">
        <f>25838+15669+316198</f>
        <v>357705</v>
      </c>
      <c r="H6" s="59"/>
    </row>
    <row r="7" spans="1:9" x14ac:dyDescent="0.25">
      <c r="A7" s="57" t="s">
        <v>16</v>
      </c>
      <c r="B7" s="57"/>
      <c r="C7" s="83"/>
      <c r="D7" s="83"/>
      <c r="E7" s="59"/>
      <c r="F7" s="59"/>
      <c r="G7" s="58">
        <f>19793+11156+414479</f>
        <v>445428</v>
      </c>
      <c r="H7" s="59"/>
    </row>
    <row r="8" spans="1:9" x14ac:dyDescent="0.25">
      <c r="A8" s="57" t="s">
        <v>17</v>
      </c>
      <c r="B8" s="57"/>
      <c r="C8" s="83">
        <v>858191.73</v>
      </c>
      <c r="D8" s="83"/>
      <c r="E8" s="59"/>
      <c r="F8" s="59">
        <f t="shared" ref="F8:F11" si="0">SUM(C8:D8)</f>
        <v>858191.73</v>
      </c>
      <c r="G8" s="58">
        <f>19787+7817+337800</f>
        <v>365404</v>
      </c>
      <c r="H8" s="59"/>
    </row>
    <row r="9" spans="1:9" x14ac:dyDescent="0.25">
      <c r="A9" s="57" t="s">
        <v>18</v>
      </c>
      <c r="B9" s="57"/>
      <c r="C9" s="83">
        <v>803954.81</v>
      </c>
      <c r="D9" s="83"/>
      <c r="E9" s="59"/>
      <c r="F9" s="59">
        <f t="shared" si="0"/>
        <v>803954.81</v>
      </c>
      <c r="G9" s="58">
        <f>1.033*AVERAGE(G6:G8)</f>
        <v>402366.24033333326</v>
      </c>
      <c r="H9" s="59"/>
    </row>
    <row r="10" spans="1:9" x14ac:dyDescent="0.25">
      <c r="A10" s="57" t="s">
        <v>19</v>
      </c>
      <c r="B10" s="80">
        <f>C10+D10</f>
        <v>837769.81582000002</v>
      </c>
      <c r="C10" s="83">
        <f>C9*(1+$C$5)</f>
        <v>821641.81582000002</v>
      </c>
      <c r="D10" s="83">
        <v>16128</v>
      </c>
      <c r="E10" s="59"/>
      <c r="F10" s="59">
        <f t="shared" si="0"/>
        <v>837769.81582000002</v>
      </c>
      <c r="G10" s="58">
        <f>G9*(1+G5)</f>
        <v>415644.32626433321</v>
      </c>
      <c r="H10" s="59">
        <f t="shared" ref="H10:H37" si="1">F10-G10</f>
        <v>422125.48955566681</v>
      </c>
    </row>
    <row r="11" spans="1:9" x14ac:dyDescent="0.25">
      <c r="A11" s="57" t="s">
        <v>20</v>
      </c>
      <c r="B11" s="80">
        <f>C11+D11</f>
        <v>856490.93576804001</v>
      </c>
      <c r="C11" s="83">
        <f t="shared" ref="C11:C37" si="2">C10*(1+$C$5)</f>
        <v>839717.93576804001</v>
      </c>
      <c r="D11" s="83">
        <v>16773</v>
      </c>
      <c r="E11" s="59"/>
      <c r="F11" s="59">
        <f t="shared" si="0"/>
        <v>856490.93576804001</v>
      </c>
      <c r="G11" s="58">
        <f t="shared" ref="G11:G32" si="3">1.033*G10</f>
        <v>429360.58903105615</v>
      </c>
      <c r="H11" s="59">
        <f t="shared" si="1"/>
        <v>427130.34673698386</v>
      </c>
    </row>
    <row r="12" spans="1:9" x14ac:dyDescent="0.25">
      <c r="A12" s="57" t="s">
        <v>21</v>
      </c>
      <c r="B12" s="80">
        <v>847942</v>
      </c>
      <c r="C12" s="83">
        <f t="shared" si="2"/>
        <v>858191.73035493691</v>
      </c>
      <c r="D12" s="83">
        <v>17276</v>
      </c>
      <c r="E12" s="59"/>
      <c r="F12" s="59">
        <f>B12</f>
        <v>847942</v>
      </c>
      <c r="G12" s="58">
        <f t="shared" si="3"/>
        <v>443529.48846908094</v>
      </c>
      <c r="H12" s="59">
        <f t="shared" si="1"/>
        <v>404412.51153091906</v>
      </c>
    </row>
    <row r="13" spans="1:9" x14ac:dyDescent="0.25">
      <c r="A13" s="57" t="s">
        <v>22</v>
      </c>
      <c r="B13" s="80">
        <v>847921</v>
      </c>
      <c r="C13" s="83">
        <f t="shared" si="2"/>
        <v>877071.94842274557</v>
      </c>
      <c r="D13" s="83">
        <v>17795</v>
      </c>
      <c r="E13" s="59"/>
      <c r="F13" s="59">
        <f>B13</f>
        <v>847921</v>
      </c>
      <c r="G13" s="58">
        <f t="shared" si="3"/>
        <v>458165.9615885606</v>
      </c>
      <c r="H13" s="59">
        <f t="shared" si="1"/>
        <v>389755.0384114394</v>
      </c>
    </row>
    <row r="14" spans="1:9" x14ac:dyDescent="0.25">
      <c r="A14" s="57" t="s">
        <v>23</v>
      </c>
      <c r="B14" s="80">
        <v>851256</v>
      </c>
      <c r="C14" s="83">
        <f t="shared" si="2"/>
        <v>896367.53128804604</v>
      </c>
      <c r="D14" s="83">
        <v>18328</v>
      </c>
      <c r="E14" s="59"/>
      <c r="F14" s="59">
        <f t="shared" ref="F14:F37" si="4">B14</f>
        <v>851256</v>
      </c>
      <c r="G14" s="58">
        <f t="shared" si="3"/>
        <v>473285.43832098308</v>
      </c>
      <c r="H14" s="59">
        <f t="shared" si="1"/>
        <v>377970.56167901692</v>
      </c>
    </row>
    <row r="15" spans="1:9" x14ac:dyDescent="0.25">
      <c r="A15" s="57" t="s">
        <v>24</v>
      </c>
      <c r="B15" s="80">
        <v>839774</v>
      </c>
      <c r="C15" s="83">
        <f>C14*(1+$C$5)</f>
        <v>916087.61697638303</v>
      </c>
      <c r="D15" s="83">
        <v>18713</v>
      </c>
      <c r="E15" s="59"/>
      <c r="F15" s="59">
        <f t="shared" si="4"/>
        <v>839774</v>
      </c>
      <c r="G15" s="58">
        <f t="shared" si="3"/>
        <v>488903.8577855755</v>
      </c>
      <c r="H15" s="59">
        <f t="shared" si="1"/>
        <v>350870.1422144245</v>
      </c>
    </row>
    <row r="16" spans="1:9" x14ac:dyDescent="0.25">
      <c r="A16" s="15" t="s">
        <v>25</v>
      </c>
      <c r="B16" s="79">
        <v>841410</v>
      </c>
      <c r="C16" s="83">
        <f t="shared" si="2"/>
        <v>936241.54454986344</v>
      </c>
      <c r="D16" s="83">
        <v>19274</v>
      </c>
      <c r="E16" s="3"/>
      <c r="F16" s="59">
        <f t="shared" si="4"/>
        <v>841410</v>
      </c>
      <c r="G16" s="2">
        <f t="shared" si="3"/>
        <v>505037.68509249948</v>
      </c>
      <c r="H16" s="3">
        <f t="shared" si="1"/>
        <v>336372.31490750052</v>
      </c>
    </row>
    <row r="17" spans="1:8" x14ac:dyDescent="0.25">
      <c r="A17" s="15" t="s">
        <v>26</v>
      </c>
      <c r="B17" s="79">
        <v>878039</v>
      </c>
      <c r="C17" s="83">
        <f t="shared" si="2"/>
        <v>956838.8585299605</v>
      </c>
      <c r="D17" s="83">
        <v>19852</v>
      </c>
      <c r="E17" s="3"/>
      <c r="F17" s="59">
        <f t="shared" si="4"/>
        <v>878039</v>
      </c>
      <c r="G17" s="2">
        <f t="shared" si="3"/>
        <v>521703.92870055191</v>
      </c>
      <c r="H17" s="3">
        <f t="shared" si="1"/>
        <v>356335.07129944809</v>
      </c>
    </row>
    <row r="18" spans="1:8" x14ac:dyDescent="0.25">
      <c r="A18" s="15" t="s">
        <v>27</v>
      </c>
      <c r="B18" s="79">
        <v>886073</v>
      </c>
      <c r="C18" s="83">
        <f t="shared" si="2"/>
        <v>977889.31341761968</v>
      </c>
      <c r="D18" s="83">
        <v>20061</v>
      </c>
      <c r="E18" s="3"/>
      <c r="F18" s="59">
        <f t="shared" si="4"/>
        <v>886073</v>
      </c>
      <c r="G18" s="2">
        <f t="shared" si="3"/>
        <v>538920.15834767011</v>
      </c>
      <c r="H18" s="3">
        <f t="shared" si="1"/>
        <v>347152.84165232989</v>
      </c>
    </row>
    <row r="19" spans="1:8" x14ac:dyDescent="0.25">
      <c r="A19" s="15" t="s">
        <v>28</v>
      </c>
      <c r="B19" s="79">
        <v>896193</v>
      </c>
      <c r="C19" s="83">
        <f t="shared" si="2"/>
        <v>999402.8783128073</v>
      </c>
      <c r="D19" s="83">
        <v>21693</v>
      </c>
      <c r="E19" s="3"/>
      <c r="F19" s="59">
        <f t="shared" si="4"/>
        <v>896193</v>
      </c>
      <c r="G19" s="2">
        <f t="shared" si="3"/>
        <v>556704.52357314317</v>
      </c>
      <c r="H19" s="3">
        <f t="shared" si="1"/>
        <v>339488.47642685683</v>
      </c>
    </row>
    <row r="20" spans="1:8" x14ac:dyDescent="0.25">
      <c r="A20" s="15" t="s">
        <v>29</v>
      </c>
      <c r="B20" s="79">
        <f>B19*(1+$B$5)</f>
        <v>915909.24600000004</v>
      </c>
      <c r="C20" s="83">
        <f t="shared" si="2"/>
        <v>1021389.741635689</v>
      </c>
      <c r="D20" s="83">
        <v>22344</v>
      </c>
      <c r="E20" s="3"/>
      <c r="F20" s="59">
        <f t="shared" si="4"/>
        <v>915909.24600000004</v>
      </c>
      <c r="G20" s="2">
        <f t="shared" si="3"/>
        <v>575075.77285105688</v>
      </c>
      <c r="H20" s="3">
        <f t="shared" si="1"/>
        <v>340833.47314894316</v>
      </c>
    </row>
    <row r="21" spans="1:8" x14ac:dyDescent="0.25">
      <c r="A21" s="15" t="s">
        <v>30</v>
      </c>
      <c r="B21" s="79">
        <f t="shared" ref="B21:B37" si="5">B20*(1+$B$5)</f>
        <v>936059.24941200006</v>
      </c>
      <c r="C21" s="83">
        <f t="shared" si="2"/>
        <v>1043860.3159516742</v>
      </c>
      <c r="D21" s="83">
        <v>23014</v>
      </c>
      <c r="E21" s="3"/>
      <c r="F21" s="59">
        <f t="shared" si="4"/>
        <v>936059.24941200006</v>
      </c>
      <c r="G21" s="2">
        <f t="shared" si="3"/>
        <v>594053.27335514175</v>
      </c>
      <c r="H21" s="3">
        <f t="shared" si="1"/>
        <v>342005.97605685832</v>
      </c>
    </row>
    <row r="22" spans="1:8" x14ac:dyDescent="0.25">
      <c r="A22" s="15" t="s">
        <v>31</v>
      </c>
      <c r="B22" s="79">
        <f t="shared" si="5"/>
        <v>956652.55289906403</v>
      </c>
      <c r="C22" s="83">
        <f t="shared" si="2"/>
        <v>1066825.2429026111</v>
      </c>
      <c r="D22" s="83">
        <v>23014</v>
      </c>
      <c r="E22" s="3"/>
      <c r="F22" s="59">
        <f t="shared" si="4"/>
        <v>956652.55289906403</v>
      </c>
      <c r="G22" s="2">
        <f t="shared" si="3"/>
        <v>613657.03137586138</v>
      </c>
      <c r="H22" s="3">
        <f t="shared" si="1"/>
        <v>342995.52152320265</v>
      </c>
    </row>
    <row r="23" spans="1:8" x14ac:dyDescent="0.25">
      <c r="A23" s="15" t="s">
        <v>32</v>
      </c>
      <c r="B23" s="79">
        <f t="shared" si="5"/>
        <v>977698.90906284342</v>
      </c>
      <c r="C23" s="83">
        <f t="shared" si="2"/>
        <v>1090295.3982464685</v>
      </c>
      <c r="D23" s="83">
        <v>23705</v>
      </c>
      <c r="E23" s="3"/>
      <c r="F23" s="59">
        <f t="shared" si="4"/>
        <v>977698.90906284342</v>
      </c>
      <c r="G23" s="2">
        <f t="shared" si="3"/>
        <v>633907.7134112647</v>
      </c>
      <c r="H23" s="3">
        <f t="shared" si="1"/>
        <v>343791.19565157872</v>
      </c>
    </row>
    <row r="24" spans="1:8" x14ac:dyDescent="0.25">
      <c r="A24" s="15" t="s">
        <v>33</v>
      </c>
      <c r="B24" s="79">
        <f t="shared" si="5"/>
        <v>999208.285062226</v>
      </c>
      <c r="C24" s="83">
        <f t="shared" si="2"/>
        <v>1114281.8970078907</v>
      </c>
      <c r="D24" s="83">
        <v>24416</v>
      </c>
      <c r="E24" s="3"/>
      <c r="F24" s="59">
        <f t="shared" si="4"/>
        <v>999208.285062226</v>
      </c>
      <c r="G24" s="2">
        <f t="shared" si="3"/>
        <v>654826.66795383638</v>
      </c>
      <c r="H24" s="3">
        <f t="shared" si="1"/>
        <v>344381.61710838962</v>
      </c>
    </row>
    <row r="25" spans="1:8" x14ac:dyDescent="0.25">
      <c r="A25" s="15" t="s">
        <v>34</v>
      </c>
      <c r="B25" s="79">
        <f t="shared" si="5"/>
        <v>1021190.8673335949</v>
      </c>
      <c r="C25" s="83">
        <f t="shared" si="2"/>
        <v>1138796.0987420643</v>
      </c>
      <c r="D25" s="83">
        <v>25149</v>
      </c>
      <c r="E25" s="3"/>
      <c r="F25" s="59">
        <f t="shared" si="4"/>
        <v>1021190.8673335949</v>
      </c>
      <c r="G25" s="2">
        <f t="shared" si="3"/>
        <v>676435.94799631299</v>
      </c>
      <c r="H25" s="3">
        <f t="shared" si="1"/>
        <v>344754.91933728196</v>
      </c>
    </row>
    <row r="26" spans="1:8" x14ac:dyDescent="0.25">
      <c r="A26" s="15" t="s">
        <v>35</v>
      </c>
      <c r="B26" s="79">
        <f t="shared" si="5"/>
        <v>1043657.066414934</v>
      </c>
      <c r="C26" s="83">
        <f t="shared" si="2"/>
        <v>1163849.6129143897</v>
      </c>
      <c r="D26" s="83">
        <v>25903</v>
      </c>
      <c r="E26" s="3"/>
      <c r="F26" s="59">
        <f t="shared" si="4"/>
        <v>1043657.066414934</v>
      </c>
      <c r="G26" s="2">
        <f t="shared" si="3"/>
        <v>698758.33428019122</v>
      </c>
      <c r="H26" s="3">
        <f t="shared" si="1"/>
        <v>344898.73213474278</v>
      </c>
    </row>
    <row r="27" spans="1:8" x14ac:dyDescent="0.25">
      <c r="A27" s="15" t="s">
        <v>36</v>
      </c>
      <c r="B27" s="79">
        <f t="shared" si="5"/>
        <v>1066617.5218760625</v>
      </c>
      <c r="C27" s="83">
        <f t="shared" si="2"/>
        <v>1189454.3043985062</v>
      </c>
      <c r="D27" s="83">
        <v>26680</v>
      </c>
      <c r="E27" s="3"/>
      <c r="F27" s="59">
        <f t="shared" si="4"/>
        <v>1066617.5218760625</v>
      </c>
      <c r="G27" s="2">
        <f t="shared" si="3"/>
        <v>721817.35931143747</v>
      </c>
      <c r="H27" s="3">
        <f t="shared" si="1"/>
        <v>344800.16256462503</v>
      </c>
    </row>
    <row r="28" spans="1:8" x14ac:dyDescent="0.25">
      <c r="A28" s="15" t="s">
        <v>37</v>
      </c>
      <c r="B28" s="79">
        <f t="shared" si="5"/>
        <v>1090083.107357336</v>
      </c>
      <c r="C28" s="83">
        <f t="shared" si="2"/>
        <v>1215622.2990952733</v>
      </c>
      <c r="D28" s="83">
        <v>27480</v>
      </c>
      <c r="E28" s="3"/>
      <c r="F28" s="59">
        <f t="shared" si="4"/>
        <v>1090083.107357336</v>
      </c>
      <c r="G28" s="2">
        <f t="shared" si="3"/>
        <v>745637.33216871484</v>
      </c>
      <c r="H28" s="3">
        <f t="shared" si="1"/>
        <v>344445.77518862113</v>
      </c>
    </row>
    <row r="29" spans="1:8" x14ac:dyDescent="0.25">
      <c r="A29" s="15" t="s">
        <v>38</v>
      </c>
      <c r="B29" s="79">
        <f t="shared" si="5"/>
        <v>1114064.9357191974</v>
      </c>
      <c r="C29" s="83">
        <f t="shared" si="2"/>
        <v>1242365.9896753693</v>
      </c>
      <c r="D29" s="83">
        <v>28305</v>
      </c>
      <c r="E29" s="3"/>
      <c r="F29" s="59">
        <f t="shared" si="4"/>
        <v>1114064.9357191974</v>
      </c>
      <c r="G29" s="2">
        <f t="shared" si="3"/>
        <v>770243.36413028243</v>
      </c>
      <c r="H29" s="3">
        <f t="shared" si="1"/>
        <v>343821.57158891496</v>
      </c>
    </row>
    <row r="30" spans="1:8" x14ac:dyDescent="0.25">
      <c r="A30" s="15" t="s">
        <v>39</v>
      </c>
      <c r="B30" s="79">
        <f t="shared" si="5"/>
        <v>1138574.3643050198</v>
      </c>
      <c r="C30" s="83">
        <f t="shared" si="2"/>
        <v>1269698.0414482276</v>
      </c>
      <c r="D30" s="83">
        <v>29154</v>
      </c>
      <c r="E30" s="3"/>
      <c r="F30" s="59">
        <f t="shared" si="4"/>
        <v>1138574.3643050198</v>
      </c>
      <c r="G30" s="2">
        <f t="shared" si="3"/>
        <v>795661.39514658169</v>
      </c>
      <c r="H30" s="3">
        <f t="shared" si="1"/>
        <v>342912.96915843815</v>
      </c>
    </row>
    <row r="31" spans="1:8" x14ac:dyDescent="0.25">
      <c r="A31" s="15" t="s">
        <v>40</v>
      </c>
      <c r="B31" s="79">
        <f t="shared" si="5"/>
        <v>1163623.0003197303</v>
      </c>
      <c r="C31" s="83">
        <f t="shared" si="2"/>
        <v>1297631.3983600887</v>
      </c>
      <c r="D31" s="83">
        <v>29154</v>
      </c>
      <c r="E31" s="3"/>
      <c r="F31" s="59">
        <f t="shared" si="4"/>
        <v>1163623.0003197303</v>
      </c>
      <c r="G31" s="2">
        <f t="shared" si="3"/>
        <v>821918.22118641878</v>
      </c>
      <c r="H31" s="3">
        <f t="shared" si="1"/>
        <v>341704.77913331147</v>
      </c>
    </row>
    <row r="32" spans="1:8" x14ac:dyDescent="0.25">
      <c r="A32" s="15" t="s">
        <v>41</v>
      </c>
      <c r="B32" s="79">
        <f t="shared" si="5"/>
        <v>1189222.7063267643</v>
      </c>
      <c r="C32" s="83">
        <f t="shared" si="2"/>
        <v>1326179.2891240106</v>
      </c>
      <c r="D32" s="83">
        <v>29154</v>
      </c>
      <c r="E32" s="7"/>
      <c r="F32" s="59">
        <f t="shared" si="4"/>
        <v>1189222.7063267643</v>
      </c>
      <c r="G32" s="2">
        <f t="shared" si="3"/>
        <v>849041.52248557052</v>
      </c>
      <c r="H32" s="3">
        <f t="shared" si="1"/>
        <v>340181.18384119379</v>
      </c>
    </row>
    <row r="33" spans="1:8" x14ac:dyDescent="0.25">
      <c r="A33" s="42" t="s">
        <v>42</v>
      </c>
      <c r="B33" s="85">
        <f t="shared" si="5"/>
        <v>1215385.6058659533</v>
      </c>
      <c r="C33" s="84">
        <f t="shared" si="2"/>
        <v>1355355.2334847387</v>
      </c>
      <c r="D33" s="84">
        <v>29154</v>
      </c>
      <c r="E33" s="7"/>
      <c r="F33" s="59">
        <f t="shared" si="4"/>
        <v>1215385.6058659533</v>
      </c>
      <c r="G33" s="22">
        <f>1.033*G32</f>
        <v>877059.89272759424</v>
      </c>
      <c r="H33" s="23">
        <f t="shared" si="1"/>
        <v>338325.71313835902</v>
      </c>
    </row>
    <row r="34" spans="1:8" x14ac:dyDescent="0.25">
      <c r="A34" s="42" t="s">
        <v>43</v>
      </c>
      <c r="B34" s="85">
        <f t="shared" si="5"/>
        <v>1242124.0891950042</v>
      </c>
      <c r="C34" s="84">
        <f t="shared" si="2"/>
        <v>1385173.0486214031</v>
      </c>
      <c r="D34" s="84">
        <v>29154</v>
      </c>
      <c r="E34" s="7"/>
      <c r="F34" s="59">
        <f t="shared" si="4"/>
        <v>1242124.0891950042</v>
      </c>
      <c r="G34" s="22">
        <f t="shared" ref="G34:G37" si="6">1.033*G33</f>
        <v>906002.86918760475</v>
      </c>
      <c r="H34" s="23">
        <f t="shared" si="1"/>
        <v>336121.22000739945</v>
      </c>
    </row>
    <row r="35" spans="1:8" x14ac:dyDescent="0.25">
      <c r="A35" s="42" t="s">
        <v>44</v>
      </c>
      <c r="B35" s="85">
        <f t="shared" si="5"/>
        <v>1269450.8191572942</v>
      </c>
      <c r="C35" s="84">
        <f t="shared" si="2"/>
        <v>1415646.8556910739</v>
      </c>
      <c r="D35" s="84">
        <v>29154</v>
      </c>
      <c r="E35" s="7"/>
      <c r="F35" s="59">
        <f t="shared" si="4"/>
        <v>1269450.8191572942</v>
      </c>
      <c r="G35" s="22">
        <f t="shared" si="6"/>
        <v>935900.96387079568</v>
      </c>
      <c r="H35" s="23">
        <f t="shared" si="1"/>
        <v>333549.85528649855</v>
      </c>
    </row>
    <row r="36" spans="1:8" x14ac:dyDescent="0.25">
      <c r="A36" s="42" t="s">
        <v>45</v>
      </c>
      <c r="B36" s="85">
        <f t="shared" si="5"/>
        <v>1297378.7371787548</v>
      </c>
      <c r="C36" s="84">
        <f t="shared" si="2"/>
        <v>1446791.0865162776</v>
      </c>
      <c r="D36" s="84">
        <v>29154</v>
      </c>
      <c r="E36" s="7"/>
      <c r="F36" s="59">
        <f t="shared" si="4"/>
        <v>1297378.7371787548</v>
      </c>
      <c r="G36" s="22">
        <f t="shared" si="6"/>
        <v>966785.69567853189</v>
      </c>
      <c r="H36" s="23">
        <f t="shared" si="1"/>
        <v>330593.04150022287</v>
      </c>
    </row>
    <row r="37" spans="1:8" x14ac:dyDescent="0.25">
      <c r="A37" s="42" t="s">
        <v>46</v>
      </c>
      <c r="B37" s="85">
        <f t="shared" si="5"/>
        <v>1325921.0693966874</v>
      </c>
      <c r="C37" s="84">
        <f t="shared" si="2"/>
        <v>1478620.4904196358</v>
      </c>
      <c r="D37" s="84">
        <v>29154</v>
      </c>
      <c r="E37" s="7"/>
      <c r="F37" s="59">
        <f t="shared" si="4"/>
        <v>1325921.0693966874</v>
      </c>
      <c r="G37" s="22">
        <f t="shared" si="6"/>
        <v>998689.62363592337</v>
      </c>
      <c r="H37" s="23">
        <f t="shared" si="1"/>
        <v>327231.44576076407</v>
      </c>
    </row>
    <row r="38" spans="1:8" s="4" customFormat="1" x14ac:dyDescent="0.25">
      <c r="A38" s="4" t="s">
        <v>47</v>
      </c>
      <c r="C38" s="14"/>
      <c r="D38" s="14"/>
      <c r="E38" s="14"/>
      <c r="F38" s="14"/>
      <c r="G38" s="14" t="s">
        <v>48</v>
      </c>
      <c r="H38" s="14"/>
    </row>
    <row r="39" spans="1:8" x14ac:dyDescent="0.25">
      <c r="C39" s="2"/>
      <c r="D39" s="2"/>
      <c r="E39" s="2"/>
      <c r="F39" s="2"/>
      <c r="G39" s="2"/>
      <c r="H39" s="2"/>
    </row>
    <row r="40" spans="1:8" ht="45" x14ac:dyDescent="0.25">
      <c r="A40" s="53" t="s">
        <v>49</v>
      </c>
      <c r="B40" s="53"/>
      <c r="C40" s="63"/>
      <c r="D40" s="63"/>
      <c r="E40" s="2"/>
      <c r="F40" s="2"/>
      <c r="G40" s="2"/>
      <c r="H40" s="2"/>
    </row>
    <row r="41" spans="1:8" x14ac:dyDescent="0.25">
      <c r="A41" s="4" t="s">
        <v>50</v>
      </c>
      <c r="B41" s="4"/>
      <c r="C41" s="2">
        <f>SUM(C16:C27)</f>
        <v>12699125.206609545</v>
      </c>
      <c r="D41" s="2">
        <f>SUM(D16:D27)</f>
        <v>275105</v>
      </c>
      <c r="E41" s="2"/>
      <c r="F41" s="2">
        <f>SUM(F16:F27)</f>
        <v>11418708.698060725</v>
      </c>
      <c r="G41" s="2">
        <f>SUM(G16:G27)</f>
        <v>7290898.3962489665</v>
      </c>
      <c r="H41" s="2">
        <f>SUM(H16:H27)</f>
        <v>4127810.3018117575</v>
      </c>
    </row>
    <row r="42" spans="1:8" x14ac:dyDescent="0.25">
      <c r="A42" s="4" t="s">
        <v>51</v>
      </c>
      <c r="B42" s="4"/>
      <c r="C42" s="2">
        <f>SUM(C28:C37)</f>
        <v>13433083.732436096</v>
      </c>
      <c r="D42" s="2">
        <f>SUM(D28:D37)</f>
        <v>289017</v>
      </c>
      <c r="E42" s="2"/>
      <c r="F42" s="2">
        <f>SUM(F28:F37)</f>
        <v>12045828.434821742</v>
      </c>
      <c r="G42" s="2">
        <f>SUM(G28:G37)</f>
        <v>8666940.8802180178</v>
      </c>
      <c r="H42" s="2">
        <f>SUM(H28:H37)</f>
        <v>3378887.5546037238</v>
      </c>
    </row>
    <row r="43" spans="1:8" x14ac:dyDescent="0.25">
      <c r="A43" s="4" t="s">
        <v>52</v>
      </c>
      <c r="B43" s="4"/>
      <c r="C43" s="2">
        <f>C41+C42</f>
        <v>26132208.939045642</v>
      </c>
      <c r="D43" s="2">
        <f t="shared" ref="D43:H43" si="7">D41+D42</f>
        <v>564122</v>
      </c>
      <c r="E43" s="2"/>
      <c r="F43" s="2">
        <f>F41+F42</f>
        <v>23464537.132882468</v>
      </c>
      <c r="G43" s="2">
        <f t="shared" si="7"/>
        <v>15957839.276466984</v>
      </c>
      <c r="H43" s="2">
        <f t="shared" si="7"/>
        <v>7506697.8564154813</v>
      </c>
    </row>
    <row r="44" spans="1:8" x14ac:dyDescent="0.25">
      <c r="C44" s="2"/>
      <c r="D44" s="2"/>
      <c r="E44" s="2"/>
      <c r="F44" s="2"/>
      <c r="G44" s="2"/>
      <c r="H44" s="2"/>
    </row>
    <row r="45" spans="1:8" x14ac:dyDescent="0.25">
      <c r="A45" s="4" t="s">
        <v>53</v>
      </c>
      <c r="B45" s="4"/>
      <c r="C45" s="2"/>
      <c r="D45" s="2"/>
      <c r="E45" s="2"/>
      <c r="F45" s="2"/>
      <c r="G45" s="2"/>
      <c r="H45" s="2"/>
    </row>
    <row r="46" spans="1:8" x14ac:dyDescent="0.25">
      <c r="A46" t="s">
        <v>54</v>
      </c>
    </row>
    <row r="47" spans="1:8" x14ac:dyDescent="0.25">
      <c r="A47" s="8" t="s">
        <v>55</v>
      </c>
      <c r="B47" s="8"/>
    </row>
  </sheetData>
  <mergeCells count="3">
    <mergeCell ref="C2:D2"/>
    <mergeCell ref="A1:H1"/>
    <mergeCell ref="B3:D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5D65E-812E-423F-9008-784AB0AB6163}">
  <dimension ref="A1:L46"/>
  <sheetViews>
    <sheetView zoomScaleNormal="130" workbookViewId="0">
      <selection activeCell="N14" sqref="N14"/>
    </sheetView>
  </sheetViews>
  <sheetFormatPr defaultRowHeight="15" x14ac:dyDescent="0.25"/>
  <cols>
    <col min="1" max="1" width="20.375" customWidth="1"/>
    <col min="2" max="2" width="17" customWidth="1"/>
    <col min="3" max="3" width="13.75" customWidth="1"/>
    <col min="4" max="4" width="16.25" customWidth="1"/>
    <col min="5" max="5" width="11.875" customWidth="1"/>
    <col min="6" max="6" width="13" customWidth="1"/>
    <col min="7" max="7" width="13.625" customWidth="1"/>
    <col min="8" max="8" width="8.25" customWidth="1"/>
    <col min="9" max="9" width="15" customWidth="1"/>
    <col min="10" max="10" width="13" customWidth="1"/>
    <col min="11" max="11" width="14.75" customWidth="1"/>
  </cols>
  <sheetData>
    <row r="1" spans="1:12" s="4" customFormat="1" ht="15.75" x14ac:dyDescent="0.25">
      <c r="A1" s="87" t="s">
        <v>56</v>
      </c>
      <c r="B1" s="87"/>
      <c r="C1" s="87"/>
      <c r="D1" s="87"/>
      <c r="E1" s="87"/>
      <c r="F1" s="87"/>
      <c r="G1" s="87"/>
      <c r="H1" s="87"/>
      <c r="I1" s="87"/>
      <c r="J1" s="87"/>
      <c r="K1" s="87"/>
    </row>
    <row r="2" spans="1:12" x14ac:dyDescent="0.25">
      <c r="A2" s="26" t="s">
        <v>1</v>
      </c>
      <c r="B2" s="91" t="s">
        <v>57</v>
      </c>
      <c r="C2" s="91"/>
      <c r="D2" s="91"/>
      <c r="E2" s="91"/>
      <c r="F2" s="91" t="s">
        <v>2</v>
      </c>
      <c r="G2" s="91"/>
      <c r="H2" s="30"/>
      <c r="I2" s="30"/>
      <c r="J2" s="31"/>
      <c r="K2" s="27"/>
    </row>
    <row r="3" spans="1:12" x14ac:dyDescent="0.25">
      <c r="A3" s="35" t="s">
        <v>3</v>
      </c>
      <c r="B3" s="89" t="s">
        <v>58</v>
      </c>
      <c r="C3" s="89"/>
      <c r="D3" s="27" t="s">
        <v>59</v>
      </c>
      <c r="E3" s="29" t="s">
        <v>60</v>
      </c>
      <c r="F3" s="89" t="s">
        <v>4</v>
      </c>
      <c r="G3" s="89"/>
      <c r="H3" s="30"/>
      <c r="I3" s="30"/>
      <c r="J3" s="31"/>
      <c r="K3" s="27"/>
    </row>
    <row r="4" spans="1:12" ht="50.25" customHeight="1" x14ac:dyDescent="0.25">
      <c r="A4" s="35" t="s">
        <v>5</v>
      </c>
      <c r="B4" s="28" t="s">
        <v>61</v>
      </c>
      <c r="C4" s="32" t="s">
        <v>62</v>
      </c>
      <c r="D4" s="28" t="s">
        <v>63</v>
      </c>
      <c r="E4" s="32" t="s">
        <v>64</v>
      </c>
      <c r="F4" s="28" t="s">
        <v>65</v>
      </c>
      <c r="G4" s="32" t="s">
        <v>66</v>
      </c>
      <c r="H4" s="28"/>
      <c r="I4" s="34" t="s">
        <v>9</v>
      </c>
      <c r="J4" s="34" t="s">
        <v>10</v>
      </c>
      <c r="K4" s="35" t="s">
        <v>11</v>
      </c>
      <c r="L4" s="1"/>
    </row>
    <row r="5" spans="1:12" ht="15.75" thickBot="1" x14ac:dyDescent="0.3">
      <c r="A5" s="41" t="s">
        <v>12</v>
      </c>
      <c r="B5" s="19">
        <v>0.02</v>
      </c>
      <c r="C5" s="19">
        <v>0</v>
      </c>
      <c r="D5" s="19">
        <v>0</v>
      </c>
      <c r="E5" s="21" t="s">
        <v>14</v>
      </c>
      <c r="F5" s="20">
        <v>2.1999999999999999E-2</v>
      </c>
      <c r="G5" s="20">
        <v>2.1999999999999999E-2</v>
      </c>
      <c r="H5" s="21"/>
      <c r="I5" s="21"/>
      <c r="J5" s="20">
        <v>3.3000000000000002E-2</v>
      </c>
      <c r="K5" s="21" t="s">
        <v>14</v>
      </c>
      <c r="L5" s="1"/>
    </row>
    <row r="6" spans="1:12" x14ac:dyDescent="0.25">
      <c r="A6" s="57" t="s">
        <v>15</v>
      </c>
      <c r="B6" s="58"/>
      <c r="C6" s="58"/>
      <c r="D6" s="59"/>
      <c r="E6" s="59"/>
      <c r="F6" s="59">
        <v>7998453</v>
      </c>
      <c r="G6" s="59"/>
      <c r="H6" s="59"/>
      <c r="I6" s="59">
        <f t="shared" ref="I6:I37" si="0">SUM(B6:G6)</f>
        <v>7998453</v>
      </c>
      <c r="J6" s="58">
        <f>6125823.65+154982.65+11524.04+1208902.64+67595.4+252148.71+25495.94+798694.08</f>
        <v>8645167.1100000013</v>
      </c>
      <c r="K6" s="59"/>
    </row>
    <row r="7" spans="1:12" x14ac:dyDescent="0.25">
      <c r="A7" s="57" t="s">
        <v>16</v>
      </c>
      <c r="B7" s="58"/>
      <c r="C7" s="58"/>
      <c r="D7" s="59"/>
      <c r="E7" s="59"/>
      <c r="F7" s="59">
        <v>7531401</v>
      </c>
      <c r="G7" s="59"/>
      <c r="H7" s="59"/>
      <c r="I7" s="59">
        <f t="shared" si="0"/>
        <v>7531401</v>
      </c>
      <c r="J7" s="58">
        <f>5735652+519514+11524+1130733+67595+252140+25496+754742</f>
        <v>8497396</v>
      </c>
      <c r="K7" s="59"/>
    </row>
    <row r="8" spans="1:12" x14ac:dyDescent="0.25">
      <c r="A8" s="57" t="s">
        <v>17</v>
      </c>
      <c r="B8" s="58"/>
      <c r="C8" s="58"/>
      <c r="D8" s="59"/>
      <c r="E8" s="59"/>
      <c r="F8" s="59">
        <v>8268043</v>
      </c>
      <c r="G8" s="59"/>
      <c r="H8" s="59"/>
      <c r="I8" s="59">
        <f t="shared" si="0"/>
        <v>8268043</v>
      </c>
      <c r="J8" s="58">
        <f>7009965+417898+56232+1138355+40432+269805+15270+772222</f>
        <v>9720179</v>
      </c>
      <c r="K8" s="59"/>
    </row>
    <row r="9" spans="1:12" x14ac:dyDescent="0.25">
      <c r="A9" s="57" t="s">
        <v>18</v>
      </c>
      <c r="B9" s="58"/>
      <c r="C9" s="58"/>
      <c r="D9" s="59"/>
      <c r="E9" s="59"/>
      <c r="F9" s="59">
        <v>9013961</v>
      </c>
      <c r="G9" s="86">
        <v>4719527</v>
      </c>
      <c r="H9" s="59"/>
      <c r="I9" s="59">
        <f t="shared" si="0"/>
        <v>13733488</v>
      </c>
      <c r="J9" s="58">
        <f>1.033*AVERAGE(J6:J8)</f>
        <v>9249737.5332099982</v>
      </c>
      <c r="K9" s="59"/>
    </row>
    <row r="10" spans="1:12" x14ac:dyDescent="0.25">
      <c r="A10" s="57" t="s">
        <v>19</v>
      </c>
      <c r="B10" s="58">
        <v>1325282</v>
      </c>
      <c r="C10" s="58">
        <v>1300000</v>
      </c>
      <c r="D10" s="59">
        <v>100000</v>
      </c>
      <c r="E10" s="59">
        <f>3141156+3179000</f>
        <v>6320156</v>
      </c>
      <c r="F10" s="59">
        <v>9162000</v>
      </c>
      <c r="G10" s="86">
        <f t="shared" ref="G10:G37" si="1">G9*1.022</f>
        <v>4823356.5940000005</v>
      </c>
      <c r="H10" s="59"/>
      <c r="I10" s="59">
        <f t="shared" si="0"/>
        <v>23030794.594000001</v>
      </c>
      <c r="J10" s="58">
        <f t="shared" ref="J10:J31" si="2">1.033*J9</f>
        <v>9554978.8718059268</v>
      </c>
      <c r="K10" s="59">
        <f t="shared" ref="K10:K37" si="3">I10-J10</f>
        <v>13475815.722194074</v>
      </c>
    </row>
    <row r="11" spans="1:12" x14ac:dyDescent="0.25">
      <c r="A11" s="57" t="s">
        <v>20</v>
      </c>
      <c r="B11" s="58">
        <v>1750000</v>
      </c>
      <c r="C11" s="58">
        <v>1300000</v>
      </c>
      <c r="D11" s="59">
        <v>100000</v>
      </c>
      <c r="E11" s="59">
        <v>5420220</v>
      </c>
      <c r="F11" s="59">
        <v>9270234</v>
      </c>
      <c r="G11" s="86">
        <f t="shared" si="1"/>
        <v>4929470.4390680008</v>
      </c>
      <c r="H11" s="59"/>
      <c r="I11" s="59">
        <f t="shared" si="0"/>
        <v>22769924.439068001</v>
      </c>
      <c r="J11" s="58">
        <f t="shared" si="2"/>
        <v>9870293.1745755207</v>
      </c>
      <c r="K11" s="59">
        <f t="shared" si="3"/>
        <v>12899631.26449248</v>
      </c>
    </row>
    <row r="12" spans="1:12" x14ac:dyDescent="0.25">
      <c r="A12" s="57" t="s">
        <v>21</v>
      </c>
      <c r="B12" s="58">
        <f t="shared" ref="B12:B37" si="4">B11*1.02</f>
        <v>1785000</v>
      </c>
      <c r="C12" s="58">
        <v>1300000</v>
      </c>
      <c r="D12" s="59">
        <v>100000</v>
      </c>
      <c r="E12" s="59">
        <f>7575882/3</f>
        <v>2525294</v>
      </c>
      <c r="F12" s="59">
        <v>9329786</v>
      </c>
      <c r="G12" s="86">
        <f t="shared" si="1"/>
        <v>5037918.7887274968</v>
      </c>
      <c r="H12" s="59"/>
      <c r="I12" s="59">
        <f t="shared" si="0"/>
        <v>20077998.788727496</v>
      </c>
      <c r="J12" s="58">
        <f t="shared" si="2"/>
        <v>10196012.849336512</v>
      </c>
      <c r="K12" s="59">
        <f t="shared" si="3"/>
        <v>9881985.9393909834</v>
      </c>
    </row>
    <row r="13" spans="1:12" x14ac:dyDescent="0.25">
      <c r="A13" s="57" t="s">
        <v>22</v>
      </c>
      <c r="B13" s="58">
        <f t="shared" si="4"/>
        <v>1820700</v>
      </c>
      <c r="C13" s="58">
        <v>1300000</v>
      </c>
      <c r="D13" s="59">
        <v>100000</v>
      </c>
      <c r="E13" s="59">
        <f>7575882/3</f>
        <v>2525294</v>
      </c>
      <c r="F13" s="59">
        <v>9329564</v>
      </c>
      <c r="G13" s="86">
        <f t="shared" si="1"/>
        <v>5148753.0020795017</v>
      </c>
      <c r="H13" s="59"/>
      <c r="I13" s="59">
        <f t="shared" si="0"/>
        <v>20224311.002079502</v>
      </c>
      <c r="J13" s="58">
        <f t="shared" si="2"/>
        <v>10532481.273364617</v>
      </c>
      <c r="K13" s="59">
        <f t="shared" si="3"/>
        <v>9691829.7287148852</v>
      </c>
    </row>
    <row r="14" spans="1:12" x14ac:dyDescent="0.25">
      <c r="A14" s="57" t="s">
        <v>23</v>
      </c>
      <c r="B14" s="58">
        <f t="shared" si="4"/>
        <v>1857114</v>
      </c>
      <c r="C14" s="58">
        <v>1300000</v>
      </c>
      <c r="D14" s="59">
        <v>100000</v>
      </c>
      <c r="E14" s="59">
        <f>7575882/3</f>
        <v>2525294</v>
      </c>
      <c r="F14" s="59">
        <v>9366259</v>
      </c>
      <c r="G14" s="59">
        <v>5032580</v>
      </c>
      <c r="H14" s="59"/>
      <c r="I14" s="59">
        <f t="shared" si="0"/>
        <v>20181247</v>
      </c>
      <c r="J14" s="58">
        <f t="shared" si="2"/>
        <v>10880053.155385649</v>
      </c>
      <c r="K14" s="59">
        <f t="shared" si="3"/>
        <v>9301193.8446143512</v>
      </c>
    </row>
    <row r="15" spans="1:12" x14ac:dyDescent="0.25">
      <c r="A15" s="57" t="s">
        <v>24</v>
      </c>
      <c r="B15" s="58">
        <f t="shared" si="4"/>
        <v>1894256.28</v>
      </c>
      <c r="C15" s="58">
        <v>1300000</v>
      </c>
      <c r="D15" s="59">
        <v>100000</v>
      </c>
      <c r="E15" s="59">
        <v>500000</v>
      </c>
      <c r="F15" s="59">
        <v>9239925</v>
      </c>
      <c r="G15" s="59">
        <f t="shared" si="1"/>
        <v>5143296.76</v>
      </c>
      <c r="H15" s="59"/>
      <c r="I15" s="59">
        <f t="shared" si="0"/>
        <v>18177478.039999999</v>
      </c>
      <c r="J15" s="58">
        <f t="shared" si="2"/>
        <v>11239094.909513375</v>
      </c>
      <c r="K15" s="59">
        <f t="shared" si="3"/>
        <v>6938383.1304866243</v>
      </c>
    </row>
    <row r="16" spans="1:12" x14ac:dyDescent="0.25">
      <c r="A16" s="15" t="s">
        <v>25</v>
      </c>
      <c r="B16" s="2">
        <f t="shared" si="4"/>
        <v>1932141.4056000002</v>
      </c>
      <c r="C16" s="2">
        <v>1300000</v>
      </c>
      <c r="D16" s="3">
        <v>100000</v>
      </c>
      <c r="E16" s="3">
        <v>500000</v>
      </c>
      <c r="F16" s="3">
        <v>9257918</v>
      </c>
      <c r="G16" s="3">
        <f t="shared" si="1"/>
        <v>5256449.2887199996</v>
      </c>
      <c r="H16" s="3"/>
      <c r="I16" s="3">
        <f t="shared" si="0"/>
        <v>18346508.694320001</v>
      </c>
      <c r="J16" s="2">
        <f t="shared" si="2"/>
        <v>11609985.041527316</v>
      </c>
      <c r="K16" s="3">
        <f t="shared" si="3"/>
        <v>6736523.6527926847</v>
      </c>
    </row>
    <row r="17" spans="1:11" x14ac:dyDescent="0.25">
      <c r="A17" s="15" t="s">
        <v>26</v>
      </c>
      <c r="B17" s="2">
        <f t="shared" si="4"/>
        <v>1970784.2337120003</v>
      </c>
      <c r="C17" s="2">
        <v>1300000</v>
      </c>
      <c r="D17" s="3">
        <v>100000</v>
      </c>
      <c r="E17" s="3">
        <v>500000</v>
      </c>
      <c r="F17" s="3">
        <v>9660944</v>
      </c>
      <c r="G17" s="3">
        <f t="shared" si="1"/>
        <v>5372091.1730718398</v>
      </c>
      <c r="H17" s="3"/>
      <c r="I17" s="3">
        <f t="shared" si="0"/>
        <v>18903819.406783842</v>
      </c>
      <c r="J17" s="2">
        <f t="shared" si="2"/>
        <v>11993114.547897717</v>
      </c>
      <c r="K17" s="3">
        <f t="shared" si="3"/>
        <v>6910704.8588861246</v>
      </c>
    </row>
    <row r="18" spans="1:11" x14ac:dyDescent="0.25">
      <c r="A18" s="15" t="s">
        <v>27</v>
      </c>
      <c r="B18" s="2">
        <f t="shared" si="4"/>
        <v>2010199.9183862403</v>
      </c>
      <c r="C18" s="2">
        <v>1300000</v>
      </c>
      <c r="D18" s="3">
        <v>100000</v>
      </c>
      <c r="E18" s="3">
        <v>500000</v>
      </c>
      <c r="F18" s="3">
        <v>9749344</v>
      </c>
      <c r="G18" s="3">
        <f t="shared" si="1"/>
        <v>5490277.1788794203</v>
      </c>
      <c r="H18" s="3"/>
      <c r="I18" s="3">
        <f t="shared" si="0"/>
        <v>19149821.097265661</v>
      </c>
      <c r="J18" s="2">
        <f t="shared" si="2"/>
        <v>12388887.327978341</v>
      </c>
      <c r="K18" s="3">
        <f t="shared" si="3"/>
        <v>6760933.7692873199</v>
      </c>
    </row>
    <row r="19" spans="1:11" x14ac:dyDescent="0.25">
      <c r="A19" s="15" t="s">
        <v>28</v>
      </c>
      <c r="B19" s="2">
        <f t="shared" si="4"/>
        <v>2050403.9167539652</v>
      </c>
      <c r="C19" s="2">
        <v>1300000</v>
      </c>
      <c r="D19" s="3">
        <v>100000</v>
      </c>
      <c r="E19" s="3">
        <v>500000</v>
      </c>
      <c r="F19" s="3">
        <v>9860694</v>
      </c>
      <c r="G19" s="3">
        <f t="shared" si="1"/>
        <v>5611063.2768147681</v>
      </c>
      <c r="H19" s="3"/>
      <c r="I19" s="3">
        <f t="shared" si="0"/>
        <v>19422161.193568736</v>
      </c>
      <c r="J19" s="2">
        <f t="shared" si="2"/>
        <v>12797720.609801626</v>
      </c>
      <c r="K19" s="3">
        <f t="shared" si="3"/>
        <v>6624440.5837671105</v>
      </c>
    </row>
    <row r="20" spans="1:11" x14ac:dyDescent="0.25">
      <c r="A20" s="15" t="s">
        <v>29</v>
      </c>
      <c r="B20" s="2">
        <f t="shared" si="4"/>
        <v>2091411.9950890446</v>
      </c>
      <c r="C20" s="2">
        <v>1300000</v>
      </c>
      <c r="D20" s="3">
        <v>100000</v>
      </c>
      <c r="E20" s="3">
        <v>500000</v>
      </c>
      <c r="F20" s="3">
        <f t="shared" ref="F20:F37" si="5">F19*1.022</f>
        <v>10077629.268000001</v>
      </c>
      <c r="G20" s="3">
        <f t="shared" si="1"/>
        <v>5734506.6689046929</v>
      </c>
      <c r="H20" s="3"/>
      <c r="I20" s="3">
        <f t="shared" si="0"/>
        <v>19803547.931993738</v>
      </c>
      <c r="J20" s="2">
        <f t="shared" si="2"/>
        <v>13220045.389925078</v>
      </c>
      <c r="K20" s="3">
        <f t="shared" si="3"/>
        <v>6583502.5420686603</v>
      </c>
    </row>
    <row r="21" spans="1:11" x14ac:dyDescent="0.25">
      <c r="A21" s="15" t="s">
        <v>30</v>
      </c>
      <c r="B21" s="2">
        <f t="shared" si="4"/>
        <v>2133240.2349908254</v>
      </c>
      <c r="C21" s="2">
        <v>1300000</v>
      </c>
      <c r="D21" s="3">
        <v>100000</v>
      </c>
      <c r="E21" s="3">
        <v>500000</v>
      </c>
      <c r="F21" s="3">
        <f t="shared" si="5"/>
        <v>10299337.111896001</v>
      </c>
      <c r="G21" s="3">
        <f t="shared" si="1"/>
        <v>5860665.8156205965</v>
      </c>
      <c r="H21" s="3"/>
      <c r="I21" s="3">
        <f t="shared" si="0"/>
        <v>20193243.162507422</v>
      </c>
      <c r="J21" s="2">
        <f t="shared" si="2"/>
        <v>13656306.887792604</v>
      </c>
      <c r="K21" s="3">
        <f t="shared" si="3"/>
        <v>6536936.2747148182</v>
      </c>
    </row>
    <row r="22" spans="1:11" x14ac:dyDescent="0.25">
      <c r="A22" s="15" t="s">
        <v>31</v>
      </c>
      <c r="B22" s="2">
        <f t="shared" si="4"/>
        <v>2175905.0396906422</v>
      </c>
      <c r="C22" s="2">
        <v>1300000</v>
      </c>
      <c r="D22" s="3">
        <v>100000</v>
      </c>
      <c r="E22" s="3">
        <v>500000</v>
      </c>
      <c r="F22" s="3">
        <f t="shared" si="5"/>
        <v>10525922.528357713</v>
      </c>
      <c r="G22" s="3">
        <f t="shared" si="1"/>
        <v>5989600.4635642497</v>
      </c>
      <c r="H22" s="3"/>
      <c r="I22" s="3">
        <f t="shared" si="0"/>
        <v>20591428.031612605</v>
      </c>
      <c r="J22" s="2">
        <f t="shared" si="2"/>
        <v>14106965.01508976</v>
      </c>
      <c r="K22" s="3">
        <f t="shared" si="3"/>
        <v>6484463.0165228453</v>
      </c>
    </row>
    <row r="23" spans="1:11" x14ac:dyDescent="0.25">
      <c r="A23" s="15" t="s">
        <v>32</v>
      </c>
      <c r="B23" s="2">
        <f t="shared" si="4"/>
        <v>2219423.140484455</v>
      </c>
      <c r="C23" s="2">
        <v>1300000</v>
      </c>
      <c r="D23" s="3">
        <v>100000</v>
      </c>
      <c r="E23" s="3">
        <v>500000</v>
      </c>
      <c r="F23" s="3">
        <f t="shared" si="5"/>
        <v>10757492.823981583</v>
      </c>
      <c r="G23" s="3">
        <f t="shared" si="1"/>
        <v>6121371.6737626633</v>
      </c>
      <c r="H23" s="3"/>
      <c r="I23" s="3">
        <f t="shared" si="0"/>
        <v>20998287.638228703</v>
      </c>
      <c r="J23" s="2">
        <f t="shared" si="2"/>
        <v>14572494.86058772</v>
      </c>
      <c r="K23" s="3">
        <f t="shared" si="3"/>
        <v>6425792.7776409835</v>
      </c>
    </row>
    <row r="24" spans="1:11" x14ac:dyDescent="0.25">
      <c r="A24" s="15" t="s">
        <v>33</v>
      </c>
      <c r="B24" s="2">
        <f t="shared" si="4"/>
        <v>2263811.6032941444</v>
      </c>
      <c r="C24" s="2">
        <v>1300000</v>
      </c>
      <c r="D24" s="3">
        <v>100000</v>
      </c>
      <c r="E24" s="3">
        <v>500000</v>
      </c>
      <c r="F24" s="3">
        <f t="shared" si="5"/>
        <v>10994157.666109178</v>
      </c>
      <c r="G24" s="3">
        <f t="shared" si="1"/>
        <v>6256041.850585442</v>
      </c>
      <c r="H24" s="3"/>
      <c r="I24" s="3">
        <f t="shared" si="0"/>
        <v>21414011.119988766</v>
      </c>
      <c r="J24" s="2">
        <f t="shared" si="2"/>
        <v>15053387.190987114</v>
      </c>
      <c r="K24" s="3">
        <f t="shared" si="3"/>
        <v>6360623.9290016517</v>
      </c>
    </row>
    <row r="25" spans="1:11" x14ac:dyDescent="0.25">
      <c r="A25" s="15" t="s">
        <v>34</v>
      </c>
      <c r="B25" s="2">
        <f t="shared" si="4"/>
        <v>2309087.8353600274</v>
      </c>
      <c r="C25" s="2">
        <v>1300000</v>
      </c>
      <c r="D25" s="3">
        <v>100000</v>
      </c>
      <c r="E25" s="3">
        <v>500000</v>
      </c>
      <c r="F25" s="3">
        <f t="shared" si="5"/>
        <v>11236029.13476358</v>
      </c>
      <c r="G25" s="3">
        <f t="shared" si="1"/>
        <v>6393674.7712983219</v>
      </c>
      <c r="H25" s="3"/>
      <c r="I25" s="3">
        <f t="shared" si="0"/>
        <v>21838791.74142193</v>
      </c>
      <c r="J25" s="2">
        <f t="shared" si="2"/>
        <v>15550148.968289688</v>
      </c>
      <c r="K25" s="3">
        <f t="shared" si="3"/>
        <v>6288642.7731322423</v>
      </c>
    </row>
    <row r="26" spans="1:11" x14ac:dyDescent="0.25">
      <c r="A26" s="15" t="s">
        <v>35</v>
      </c>
      <c r="B26" s="2">
        <f t="shared" si="4"/>
        <v>2355269.5920672282</v>
      </c>
      <c r="C26" s="2">
        <v>1300000</v>
      </c>
      <c r="D26" s="3">
        <v>100000</v>
      </c>
      <c r="E26" s="3">
        <v>500000</v>
      </c>
      <c r="F26" s="3">
        <f t="shared" si="5"/>
        <v>11483221.775728378</v>
      </c>
      <c r="G26" s="3">
        <f t="shared" si="1"/>
        <v>6534335.6162668848</v>
      </c>
      <c r="H26" s="3"/>
      <c r="I26" s="3">
        <f t="shared" si="0"/>
        <v>22272826.984062493</v>
      </c>
      <c r="J26" s="2">
        <f t="shared" si="2"/>
        <v>16063303.884243246</v>
      </c>
      <c r="K26" s="3">
        <f t="shared" si="3"/>
        <v>6209523.0998192467</v>
      </c>
    </row>
    <row r="27" spans="1:11" x14ac:dyDescent="0.25">
      <c r="A27" s="15" t="s">
        <v>36</v>
      </c>
      <c r="B27" s="2">
        <f t="shared" si="4"/>
        <v>2402374.9839085727</v>
      </c>
      <c r="C27" s="2">
        <v>1300000</v>
      </c>
      <c r="D27" s="3">
        <v>100000</v>
      </c>
      <c r="E27" s="3">
        <v>500000</v>
      </c>
      <c r="F27" s="3">
        <f t="shared" si="5"/>
        <v>11735852.654794402</v>
      </c>
      <c r="G27" s="3">
        <f t="shared" si="1"/>
        <v>6678090.9998247568</v>
      </c>
      <c r="H27" s="3"/>
      <c r="I27" s="3">
        <f t="shared" si="0"/>
        <v>22716318.638527732</v>
      </c>
      <c r="J27" s="2">
        <f t="shared" si="2"/>
        <v>16593392.912423272</v>
      </c>
      <c r="K27" s="3">
        <f t="shared" si="3"/>
        <v>6122925.7261044607</v>
      </c>
    </row>
    <row r="28" spans="1:11" x14ac:dyDescent="0.25">
      <c r="A28" s="15" t="s">
        <v>37</v>
      </c>
      <c r="B28" s="2">
        <f t="shared" si="4"/>
        <v>2450422.4835867444</v>
      </c>
      <c r="C28" s="2">
        <v>1300000</v>
      </c>
      <c r="D28" s="3">
        <v>100000</v>
      </c>
      <c r="E28" s="3">
        <v>500000</v>
      </c>
      <c r="F28" s="3">
        <f t="shared" si="5"/>
        <v>11994041.413199879</v>
      </c>
      <c r="G28" s="3">
        <f t="shared" si="1"/>
        <v>6825009.0018209014</v>
      </c>
      <c r="H28" s="3"/>
      <c r="I28" s="3">
        <f t="shared" si="0"/>
        <v>23169472.898607522</v>
      </c>
      <c r="J28" s="2">
        <f t="shared" si="2"/>
        <v>17140974.878533237</v>
      </c>
      <c r="K28" s="3">
        <f t="shared" si="3"/>
        <v>6028498.0200742856</v>
      </c>
    </row>
    <row r="29" spans="1:11" x14ac:dyDescent="0.25">
      <c r="A29" s="15" t="s">
        <v>38</v>
      </c>
      <c r="B29" s="2">
        <f t="shared" si="4"/>
        <v>2499430.9332584795</v>
      </c>
      <c r="C29" s="2">
        <v>1300000</v>
      </c>
      <c r="D29" s="3">
        <v>100000</v>
      </c>
      <c r="E29" s="3">
        <v>500000</v>
      </c>
      <c r="F29" s="3">
        <f t="shared" si="5"/>
        <v>12257910.324290277</v>
      </c>
      <c r="G29" s="3">
        <f t="shared" si="1"/>
        <v>6975159.1998609612</v>
      </c>
      <c r="H29" s="3"/>
      <c r="I29" s="3">
        <f t="shared" si="0"/>
        <v>23632500.457409717</v>
      </c>
      <c r="J29" s="2">
        <f t="shared" si="2"/>
        <v>17706627.049524833</v>
      </c>
      <c r="K29" s="3">
        <f t="shared" si="3"/>
        <v>5925873.4078848846</v>
      </c>
    </row>
    <row r="30" spans="1:11" x14ac:dyDescent="0.25">
      <c r="A30" s="15" t="s">
        <v>39</v>
      </c>
      <c r="B30" s="2">
        <f t="shared" si="4"/>
        <v>2549419.5519236489</v>
      </c>
      <c r="C30" s="2">
        <v>1300000</v>
      </c>
      <c r="D30" s="3">
        <v>100000</v>
      </c>
      <c r="E30" s="3">
        <v>500000</v>
      </c>
      <c r="F30" s="3">
        <f t="shared" si="5"/>
        <v>12527584.351424664</v>
      </c>
      <c r="G30" s="3">
        <f t="shared" si="1"/>
        <v>7128612.7022579024</v>
      </c>
      <c r="H30" s="3"/>
      <c r="I30" s="3">
        <f t="shared" si="0"/>
        <v>24105616.605606213</v>
      </c>
      <c r="J30" s="2">
        <f t="shared" si="2"/>
        <v>18290945.742159151</v>
      </c>
      <c r="K30" s="3">
        <f t="shared" si="3"/>
        <v>5814670.8634470627</v>
      </c>
    </row>
    <row r="31" spans="1:11" x14ac:dyDescent="0.25">
      <c r="A31" s="15" t="s">
        <v>40</v>
      </c>
      <c r="B31" s="2">
        <f t="shared" si="4"/>
        <v>2600407.9429621221</v>
      </c>
      <c r="C31" s="2">
        <v>1300000</v>
      </c>
      <c r="D31" s="3">
        <v>100000</v>
      </c>
      <c r="E31" s="3">
        <v>500000</v>
      </c>
      <c r="F31" s="3">
        <f t="shared" si="5"/>
        <v>12803191.207156006</v>
      </c>
      <c r="G31" s="3">
        <f t="shared" si="1"/>
        <v>7285442.1817075759</v>
      </c>
      <c r="H31" s="3"/>
      <c r="I31" s="3">
        <f t="shared" si="0"/>
        <v>24589041.331825703</v>
      </c>
      <c r="J31" s="2">
        <f t="shared" si="2"/>
        <v>18894546.9516504</v>
      </c>
      <c r="K31" s="3">
        <f t="shared" si="3"/>
        <v>5694494.3801753037</v>
      </c>
    </row>
    <row r="32" spans="1:11" x14ac:dyDescent="0.25">
      <c r="A32" s="15" t="s">
        <v>41</v>
      </c>
      <c r="B32" s="2">
        <f t="shared" si="4"/>
        <v>2652416.1018213648</v>
      </c>
      <c r="C32" s="2">
        <v>1300000</v>
      </c>
      <c r="D32" s="3">
        <v>100000</v>
      </c>
      <c r="E32" s="3">
        <v>500000</v>
      </c>
      <c r="F32" s="3">
        <f t="shared" si="5"/>
        <v>13084861.413713438</v>
      </c>
      <c r="G32" s="3">
        <f t="shared" si="1"/>
        <v>7445721.9097051425</v>
      </c>
      <c r="H32" s="7"/>
      <c r="I32" s="3">
        <f t="shared" si="0"/>
        <v>25082999.425239947</v>
      </c>
      <c r="J32" s="2">
        <f>1.03*J31</f>
        <v>19461383.360199913</v>
      </c>
      <c r="K32" s="3">
        <f t="shared" si="3"/>
        <v>5621616.0650400333</v>
      </c>
    </row>
    <row r="33" spans="1:11" x14ac:dyDescent="0.25">
      <c r="A33" s="42" t="s">
        <v>42</v>
      </c>
      <c r="B33" s="22">
        <f t="shared" si="4"/>
        <v>2705464.4238577923</v>
      </c>
      <c r="C33" s="22">
        <v>1300000</v>
      </c>
      <c r="D33" s="23">
        <v>100000</v>
      </c>
      <c r="E33" s="23">
        <v>500000</v>
      </c>
      <c r="F33" s="23">
        <f t="shared" si="5"/>
        <v>13372728.364815135</v>
      </c>
      <c r="G33" s="23">
        <f t="shared" si="1"/>
        <v>7609527.7917186562</v>
      </c>
      <c r="H33" s="7"/>
      <c r="I33" s="23">
        <f t="shared" si="0"/>
        <v>25587720.580391586</v>
      </c>
      <c r="J33" s="22">
        <f t="shared" ref="J33:J37" si="6">1.03*J32</f>
        <v>20045224.86100591</v>
      </c>
      <c r="K33" s="23">
        <f t="shared" si="3"/>
        <v>5542495.7193856761</v>
      </c>
    </row>
    <row r="34" spans="1:11" x14ac:dyDescent="0.25">
      <c r="A34" s="42" t="s">
        <v>43</v>
      </c>
      <c r="B34" s="22">
        <f t="shared" si="4"/>
        <v>2759573.7123349481</v>
      </c>
      <c r="C34" s="22">
        <v>1300000</v>
      </c>
      <c r="D34" s="23">
        <v>100000</v>
      </c>
      <c r="E34" s="23">
        <v>500000</v>
      </c>
      <c r="F34" s="23">
        <f t="shared" si="5"/>
        <v>13666928.388841068</v>
      </c>
      <c r="G34" s="23">
        <f t="shared" si="1"/>
        <v>7776937.4031364666</v>
      </c>
      <c r="H34" s="7"/>
      <c r="I34" s="23">
        <f t="shared" si="0"/>
        <v>26103439.504312482</v>
      </c>
      <c r="J34" s="22">
        <f t="shared" si="6"/>
        <v>20646581.606836088</v>
      </c>
      <c r="K34" s="23">
        <f t="shared" si="3"/>
        <v>5456857.8974763937</v>
      </c>
    </row>
    <row r="35" spans="1:11" x14ac:dyDescent="0.25">
      <c r="A35" s="42" t="s">
        <v>44</v>
      </c>
      <c r="B35" s="22">
        <f t="shared" si="4"/>
        <v>2814765.186581647</v>
      </c>
      <c r="C35" s="22">
        <v>1300000</v>
      </c>
      <c r="D35" s="23">
        <v>100000</v>
      </c>
      <c r="E35" s="23">
        <v>500000</v>
      </c>
      <c r="F35" s="23">
        <f t="shared" si="5"/>
        <v>13967600.813395573</v>
      </c>
      <c r="G35" s="23">
        <f t="shared" si="1"/>
        <v>7948030.0260054693</v>
      </c>
      <c r="H35" s="7"/>
      <c r="I35" s="23">
        <f t="shared" si="0"/>
        <v>26630396.025982689</v>
      </c>
      <c r="J35" s="22">
        <f t="shared" si="6"/>
        <v>21265979.055041172</v>
      </c>
      <c r="K35" s="23">
        <f t="shared" si="3"/>
        <v>5364416.9709415175</v>
      </c>
    </row>
    <row r="36" spans="1:11" x14ac:dyDescent="0.25">
      <c r="A36" s="42" t="s">
        <v>45</v>
      </c>
      <c r="B36" s="22">
        <f t="shared" si="4"/>
        <v>2871060.4903132799</v>
      </c>
      <c r="C36" s="22">
        <v>1300000</v>
      </c>
      <c r="D36" s="23">
        <v>100000</v>
      </c>
      <c r="E36" s="23">
        <v>500000</v>
      </c>
      <c r="F36" s="23">
        <f t="shared" si="5"/>
        <v>14274888.031290276</v>
      </c>
      <c r="G36" s="23">
        <f t="shared" si="1"/>
        <v>8122886.6865775902</v>
      </c>
      <c r="H36" s="7"/>
      <c r="I36" s="23">
        <f t="shared" si="0"/>
        <v>27168835.208181143</v>
      </c>
      <c r="J36" s="22">
        <f t="shared" si="6"/>
        <v>21903958.426692408</v>
      </c>
      <c r="K36" s="23">
        <f t="shared" si="3"/>
        <v>5264876.7814887352</v>
      </c>
    </row>
    <row r="37" spans="1:11" x14ac:dyDescent="0.25">
      <c r="A37" s="42" t="s">
        <v>46</v>
      </c>
      <c r="B37" s="22">
        <f t="shared" si="4"/>
        <v>2928481.7001195457</v>
      </c>
      <c r="C37" s="22">
        <v>1300000</v>
      </c>
      <c r="D37" s="23">
        <v>100000</v>
      </c>
      <c r="E37" s="23">
        <v>500000</v>
      </c>
      <c r="F37" s="23">
        <f t="shared" si="5"/>
        <v>14588935.567978662</v>
      </c>
      <c r="G37" s="23">
        <f t="shared" si="1"/>
        <v>8301590.1936822971</v>
      </c>
      <c r="H37" s="7"/>
      <c r="I37" s="23">
        <f t="shared" si="0"/>
        <v>27719007.461780503</v>
      </c>
      <c r="J37" s="22">
        <f t="shared" si="6"/>
        <v>22561077.179493181</v>
      </c>
      <c r="K37" s="23">
        <f t="shared" si="3"/>
        <v>5157930.282287322</v>
      </c>
    </row>
    <row r="38" spans="1:11" s="4" customFormat="1" x14ac:dyDescent="0.25">
      <c r="A38" s="4" t="s">
        <v>67</v>
      </c>
      <c r="C38" s="14"/>
      <c r="D38" s="14"/>
      <c r="E38" s="14"/>
      <c r="F38" s="14"/>
      <c r="G38" s="14"/>
      <c r="H38" s="14"/>
      <c r="I38" s="14"/>
      <c r="J38" s="14" t="s">
        <v>48</v>
      </c>
      <c r="K38" s="14"/>
    </row>
    <row r="39" spans="1:11" x14ac:dyDescent="0.25">
      <c r="B39" s="2"/>
      <c r="C39" s="2"/>
      <c r="D39" s="2"/>
      <c r="E39" s="2"/>
      <c r="F39" s="2"/>
      <c r="G39" s="2"/>
      <c r="H39" s="2"/>
      <c r="I39" s="2"/>
      <c r="J39" s="2"/>
      <c r="K39" s="2"/>
    </row>
    <row r="40" spans="1:11" ht="45" x14ac:dyDescent="0.25">
      <c r="A40" s="53" t="s">
        <v>49</v>
      </c>
      <c r="B40" s="63"/>
      <c r="C40" s="63"/>
      <c r="D40" s="63"/>
      <c r="E40" s="63"/>
      <c r="F40" s="63"/>
      <c r="G40" s="63"/>
      <c r="H40" s="2"/>
      <c r="I40" s="2"/>
      <c r="J40" s="2"/>
      <c r="K40" s="2"/>
    </row>
    <row r="41" spans="1:11" x14ac:dyDescent="0.25">
      <c r="A41" s="15" t="s">
        <v>50</v>
      </c>
      <c r="B41" s="2">
        <f t="shared" ref="B41:G41" si="7">SUM(B16:B27)</f>
        <v>25914053.899337143</v>
      </c>
      <c r="C41" s="2">
        <f t="shared" si="7"/>
        <v>15600000</v>
      </c>
      <c r="D41" s="2">
        <f t="shared" si="7"/>
        <v>1200000</v>
      </c>
      <c r="E41" s="2">
        <f t="shared" si="7"/>
        <v>6000000</v>
      </c>
      <c r="F41" s="2">
        <f t="shared" si="7"/>
        <v>125638542.96363083</v>
      </c>
      <c r="G41" s="2">
        <f t="shared" si="7"/>
        <v>71298168.777313635</v>
      </c>
      <c r="H41" s="2"/>
      <c r="I41" s="2">
        <f>SUM(I16:I27)</f>
        <v>245650765.64028165</v>
      </c>
      <c r="J41" s="2">
        <f>SUM(J16:J27)</f>
        <v>167605752.63654348</v>
      </c>
      <c r="K41" s="2">
        <f>SUM(K16:K27)</f>
        <v>78045013.003738165</v>
      </c>
    </row>
    <row r="42" spans="1:11" x14ac:dyDescent="0.25">
      <c r="A42" s="15" t="s">
        <v>51</v>
      </c>
      <c r="B42" s="2">
        <f t="shared" ref="B42:G42" si="8">SUM(B28:B37)</f>
        <v>26831442.526759572</v>
      </c>
      <c r="C42" s="2">
        <f t="shared" si="8"/>
        <v>13000000</v>
      </c>
      <c r="D42" s="2">
        <f t="shared" si="8"/>
        <v>1000000</v>
      </c>
      <c r="E42" s="2">
        <f t="shared" si="8"/>
        <v>5000000</v>
      </c>
      <c r="F42" s="2">
        <f t="shared" si="8"/>
        <v>132538669.87610498</v>
      </c>
      <c r="G42" s="2">
        <f t="shared" si="8"/>
        <v>75418917.096472964</v>
      </c>
      <c r="H42" s="2"/>
      <c r="I42" s="2">
        <f>SUM(I28:I37)</f>
        <v>253789029.49933749</v>
      </c>
      <c r="J42" s="2">
        <f>SUM(J28:J37)</f>
        <v>197917299.11113629</v>
      </c>
      <c r="K42" s="2">
        <f>SUM(K28:K37)</f>
        <v>55871730.388201199</v>
      </c>
    </row>
    <row r="43" spans="1:11" x14ac:dyDescent="0.25">
      <c r="A43" s="15" t="s">
        <v>52</v>
      </c>
      <c r="B43" s="2">
        <f>B41+B42</f>
        <v>52745496.426096715</v>
      </c>
      <c r="C43" s="2">
        <f t="shared" ref="C43:K43" si="9">C41+C42</f>
        <v>28600000</v>
      </c>
      <c r="D43" s="2">
        <f t="shared" si="9"/>
        <v>2200000</v>
      </c>
      <c r="E43" s="2">
        <f t="shared" si="9"/>
        <v>11000000</v>
      </c>
      <c r="F43" s="2">
        <f t="shared" si="9"/>
        <v>258177212.83973581</v>
      </c>
      <c r="G43" s="2">
        <f t="shared" si="9"/>
        <v>146717085.8737866</v>
      </c>
      <c r="H43" s="2"/>
      <c r="I43" s="2">
        <f>I41+I42</f>
        <v>499439795.13961911</v>
      </c>
      <c r="J43" s="2">
        <f t="shared" si="9"/>
        <v>365523051.74767977</v>
      </c>
      <c r="K43" s="2">
        <f t="shared" si="9"/>
        <v>133916743.39193937</v>
      </c>
    </row>
    <row r="44" spans="1:11" x14ac:dyDescent="0.25">
      <c r="B44" s="2"/>
      <c r="C44" s="2"/>
      <c r="D44" s="2"/>
      <c r="E44" s="2"/>
      <c r="F44" s="2"/>
      <c r="G44" s="2"/>
      <c r="H44" s="2"/>
      <c r="I44" s="2"/>
      <c r="J44" s="2"/>
      <c r="K44" s="2"/>
    </row>
    <row r="45" spans="1:11" x14ac:dyDescent="0.25">
      <c r="A45" s="4" t="s">
        <v>53</v>
      </c>
      <c r="B45" s="2"/>
      <c r="C45" s="2"/>
      <c r="D45" s="2"/>
      <c r="E45" s="2"/>
      <c r="F45" s="2"/>
      <c r="G45" s="2"/>
      <c r="H45" s="2"/>
      <c r="I45" s="2"/>
      <c r="J45" s="2"/>
      <c r="K45" s="2"/>
    </row>
    <row r="46" spans="1:11" x14ac:dyDescent="0.25">
      <c r="A46" s="8" t="s">
        <v>55</v>
      </c>
    </row>
  </sheetData>
  <mergeCells count="5">
    <mergeCell ref="F3:G3"/>
    <mergeCell ref="F2:G2"/>
    <mergeCell ref="B3:C3"/>
    <mergeCell ref="B2:E2"/>
    <mergeCell ref="A1:K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E781-567B-4209-BE84-9F071B762367}">
  <dimension ref="A1:I47"/>
  <sheetViews>
    <sheetView workbookViewId="0">
      <selection activeCell="A3" sqref="A3"/>
    </sheetView>
  </sheetViews>
  <sheetFormatPr defaultRowHeight="15" x14ac:dyDescent="0.25"/>
  <cols>
    <col min="1" max="1" width="21.25" customWidth="1"/>
    <col min="2" max="4" width="14.125" customWidth="1"/>
    <col min="5" max="5" width="7.875" customWidth="1"/>
    <col min="6" max="6" width="15" customWidth="1"/>
    <col min="7" max="7" width="13" customWidth="1"/>
    <col min="8" max="8" width="15.875" customWidth="1"/>
  </cols>
  <sheetData>
    <row r="1" spans="1:9" x14ac:dyDescent="0.25">
      <c r="A1" s="8" t="s">
        <v>68</v>
      </c>
      <c r="B1" s="8"/>
      <c r="C1" s="8"/>
      <c r="D1" s="8"/>
      <c r="E1" s="8"/>
      <c r="F1" s="8"/>
      <c r="G1" s="8"/>
      <c r="H1" s="8"/>
    </row>
    <row r="2" spans="1:9" s="4" customFormat="1" ht="15.75" x14ac:dyDescent="0.25">
      <c r="A2" s="87" t="s">
        <v>69</v>
      </c>
      <c r="B2" s="87"/>
      <c r="C2" s="87"/>
      <c r="D2" s="87"/>
      <c r="E2" s="87"/>
      <c r="F2" s="87"/>
      <c r="G2" s="87"/>
      <c r="H2" s="87"/>
    </row>
    <row r="3" spans="1:9" s="4" customFormat="1" x14ac:dyDescent="0.25">
      <c r="A3" s="26" t="s">
        <v>1</v>
      </c>
      <c r="B3"/>
      <c r="C3"/>
      <c r="D3"/>
      <c r="E3"/>
      <c r="F3"/>
    </row>
    <row r="4" spans="1:9" x14ac:dyDescent="0.25">
      <c r="A4" s="35" t="s">
        <v>3</v>
      </c>
      <c r="G4" s="6"/>
      <c r="H4" s="5"/>
    </row>
    <row r="5" spans="1:9" ht="45" x14ac:dyDescent="0.25">
      <c r="A5" s="35" t="s">
        <v>5</v>
      </c>
      <c r="B5" s="28" t="s">
        <v>70</v>
      </c>
      <c r="C5" s="28" t="s">
        <v>71</v>
      </c>
      <c r="D5" s="28" t="s">
        <v>72</v>
      </c>
      <c r="E5" s="1"/>
      <c r="F5" s="33" t="s">
        <v>9</v>
      </c>
      <c r="G5" s="34" t="s">
        <v>10</v>
      </c>
      <c r="H5" s="35" t="s">
        <v>11</v>
      </c>
      <c r="I5" s="1"/>
    </row>
    <row r="6" spans="1:9" ht="15.75" thickBot="1" x14ac:dyDescent="0.3">
      <c r="A6" s="41" t="s">
        <v>12</v>
      </c>
      <c r="B6" s="21"/>
      <c r="C6" s="21"/>
      <c r="D6" s="21"/>
      <c r="E6" s="21"/>
      <c r="F6" s="21"/>
      <c r="G6" s="21"/>
      <c r="H6" s="21"/>
      <c r="I6" s="1"/>
    </row>
    <row r="7" spans="1:9" x14ac:dyDescent="0.25">
      <c r="A7" s="57" t="s">
        <v>15</v>
      </c>
      <c r="B7" s="58"/>
      <c r="C7" s="58"/>
      <c r="D7" s="59"/>
      <c r="E7" s="59"/>
      <c r="F7" s="59"/>
      <c r="G7" s="58"/>
      <c r="H7" s="59"/>
    </row>
    <row r="8" spans="1:9" x14ac:dyDescent="0.25">
      <c r="A8" s="57" t="s">
        <v>16</v>
      </c>
      <c r="B8" s="58"/>
      <c r="C8" s="58"/>
      <c r="D8" s="59"/>
      <c r="E8" s="59"/>
      <c r="F8" s="59"/>
      <c r="G8" s="58"/>
      <c r="H8" s="59"/>
    </row>
    <row r="9" spans="1:9" x14ac:dyDescent="0.25">
      <c r="A9" s="57" t="s">
        <v>17</v>
      </c>
      <c r="B9" s="58"/>
      <c r="C9" s="58"/>
      <c r="D9" s="59"/>
      <c r="E9" s="59"/>
      <c r="F9" s="59"/>
      <c r="G9" s="58"/>
      <c r="H9" s="59"/>
    </row>
    <row r="10" spans="1:9" x14ac:dyDescent="0.25">
      <c r="A10" s="57" t="s">
        <v>18</v>
      </c>
      <c r="B10" s="58"/>
      <c r="C10" s="58"/>
      <c r="D10" s="59"/>
      <c r="E10" s="59"/>
      <c r="F10" s="59"/>
      <c r="G10" s="58"/>
      <c r="H10" s="59"/>
    </row>
    <row r="11" spans="1:9" x14ac:dyDescent="0.25">
      <c r="A11" s="57" t="s">
        <v>19</v>
      </c>
      <c r="B11" s="58"/>
      <c r="C11" s="58"/>
      <c r="D11" s="59"/>
      <c r="E11" s="59"/>
      <c r="F11" s="59"/>
      <c r="G11" s="58"/>
      <c r="H11" s="59"/>
    </row>
    <row r="12" spans="1:9" x14ac:dyDescent="0.25">
      <c r="A12" s="57" t="s">
        <v>20</v>
      </c>
      <c r="B12" s="58"/>
      <c r="C12" s="58"/>
      <c r="D12" s="59"/>
      <c r="E12" s="59"/>
      <c r="F12" s="59"/>
      <c r="G12" s="58"/>
      <c r="H12" s="59"/>
    </row>
    <row r="13" spans="1:9" x14ac:dyDescent="0.25">
      <c r="A13" s="57" t="s">
        <v>21</v>
      </c>
      <c r="B13" s="58"/>
      <c r="C13" s="58"/>
      <c r="D13" s="59"/>
      <c r="E13" s="59"/>
      <c r="F13" s="59"/>
      <c r="G13" s="58"/>
      <c r="H13" s="59"/>
    </row>
    <row r="14" spans="1:9" x14ac:dyDescent="0.25">
      <c r="A14" s="57" t="s">
        <v>22</v>
      </c>
      <c r="B14" s="58"/>
      <c r="C14" s="58"/>
      <c r="D14" s="59"/>
      <c r="E14" s="59"/>
      <c r="F14" s="59"/>
      <c r="G14" s="58"/>
      <c r="H14" s="59"/>
    </row>
    <row r="15" spans="1:9" x14ac:dyDescent="0.25">
      <c r="A15" s="57" t="s">
        <v>23</v>
      </c>
      <c r="B15" s="58"/>
      <c r="C15" s="58"/>
      <c r="D15" s="59"/>
      <c r="E15" s="59"/>
      <c r="F15" s="59"/>
      <c r="G15" s="58"/>
      <c r="H15" s="59"/>
    </row>
    <row r="16" spans="1:9" x14ac:dyDescent="0.25">
      <c r="A16" s="57" t="s">
        <v>24</v>
      </c>
      <c r="B16" s="58"/>
      <c r="C16" s="58"/>
      <c r="D16" s="59"/>
      <c r="E16" s="59"/>
      <c r="F16" s="59"/>
      <c r="G16" s="58"/>
      <c r="H16" s="59"/>
    </row>
    <row r="17" spans="1:8" x14ac:dyDescent="0.25">
      <c r="A17" s="15" t="s">
        <v>25</v>
      </c>
      <c r="B17" s="2"/>
      <c r="C17" s="2"/>
      <c r="D17" s="3"/>
      <c r="E17" s="3"/>
      <c r="F17" s="3"/>
      <c r="G17" s="2"/>
      <c r="H17" s="3"/>
    </row>
    <row r="18" spans="1:8" x14ac:dyDescent="0.25">
      <c r="A18" s="15" t="s">
        <v>26</v>
      </c>
      <c r="B18" s="2"/>
      <c r="C18" s="2"/>
      <c r="D18" s="3"/>
      <c r="E18" s="3"/>
      <c r="F18" s="3"/>
      <c r="G18" s="2"/>
      <c r="H18" s="3"/>
    </row>
    <row r="19" spans="1:8" x14ac:dyDescent="0.25">
      <c r="A19" s="15" t="s">
        <v>27</v>
      </c>
      <c r="B19" s="2"/>
      <c r="C19" s="2"/>
      <c r="D19" s="3"/>
      <c r="E19" s="3"/>
      <c r="F19" s="3"/>
      <c r="G19" s="2"/>
      <c r="H19" s="3"/>
    </row>
    <row r="20" spans="1:8" x14ac:dyDescent="0.25">
      <c r="A20" s="15" t="s">
        <v>28</v>
      </c>
      <c r="B20" s="2"/>
      <c r="C20" s="2"/>
      <c r="D20" s="3"/>
      <c r="E20" s="3"/>
      <c r="F20" s="3"/>
      <c r="G20" s="2"/>
      <c r="H20" s="3"/>
    </row>
    <row r="21" spans="1:8" x14ac:dyDescent="0.25">
      <c r="A21" s="15" t="s">
        <v>29</v>
      </c>
      <c r="B21" s="2"/>
      <c r="C21" s="2"/>
      <c r="D21" s="3"/>
      <c r="E21" s="3"/>
      <c r="F21" s="3"/>
      <c r="G21" s="2"/>
      <c r="H21" s="3"/>
    </row>
    <row r="22" spans="1:8" x14ac:dyDescent="0.25">
      <c r="A22" s="15" t="s">
        <v>30</v>
      </c>
      <c r="B22" s="2"/>
      <c r="C22" s="2"/>
      <c r="D22" s="3"/>
      <c r="E22" s="3"/>
      <c r="F22" s="3"/>
      <c r="G22" s="2"/>
      <c r="H22" s="3"/>
    </row>
    <row r="23" spans="1:8" x14ac:dyDescent="0.25">
      <c r="A23" s="15" t="s">
        <v>31</v>
      </c>
      <c r="B23" s="2"/>
      <c r="C23" s="2"/>
      <c r="D23" s="3"/>
      <c r="E23" s="3"/>
      <c r="F23" s="3"/>
      <c r="G23" s="2"/>
      <c r="H23" s="3"/>
    </row>
    <row r="24" spans="1:8" x14ac:dyDescent="0.25">
      <c r="A24" s="15" t="s">
        <v>32</v>
      </c>
      <c r="B24" s="2"/>
      <c r="C24" s="2"/>
      <c r="D24" s="3"/>
      <c r="E24" s="3"/>
      <c r="F24" s="3"/>
      <c r="G24" s="2"/>
      <c r="H24" s="3"/>
    </row>
    <row r="25" spans="1:8" x14ac:dyDescent="0.25">
      <c r="A25" s="15" t="s">
        <v>33</v>
      </c>
      <c r="B25" s="2"/>
      <c r="C25" s="2"/>
      <c r="D25" s="3"/>
      <c r="E25" s="3"/>
      <c r="F25" s="3"/>
      <c r="G25" s="2"/>
      <c r="H25" s="3"/>
    </row>
    <row r="26" spans="1:8" x14ac:dyDescent="0.25">
      <c r="A26" s="15" t="s">
        <v>34</v>
      </c>
      <c r="B26" s="2"/>
      <c r="C26" s="2"/>
      <c r="D26" s="3"/>
      <c r="E26" s="3"/>
      <c r="F26" s="3"/>
      <c r="G26" s="2"/>
      <c r="H26" s="3"/>
    </row>
    <row r="27" spans="1:8" x14ac:dyDescent="0.25">
      <c r="A27" s="15" t="s">
        <v>35</v>
      </c>
      <c r="B27" s="2"/>
      <c r="C27" s="2"/>
      <c r="D27" s="3"/>
      <c r="E27" s="3"/>
      <c r="F27" s="3"/>
      <c r="G27" s="2"/>
      <c r="H27" s="3"/>
    </row>
    <row r="28" spans="1:8" x14ac:dyDescent="0.25">
      <c r="A28" s="15" t="s">
        <v>36</v>
      </c>
      <c r="B28" s="2"/>
      <c r="C28" s="2"/>
      <c r="D28" s="3"/>
      <c r="E28" s="3"/>
      <c r="F28" s="3"/>
      <c r="G28" s="2"/>
      <c r="H28" s="3"/>
    </row>
    <row r="29" spans="1:8" x14ac:dyDescent="0.25">
      <c r="A29" s="15" t="s">
        <v>37</v>
      </c>
      <c r="B29" s="2"/>
      <c r="C29" s="2"/>
      <c r="D29" s="3"/>
      <c r="E29" s="3"/>
      <c r="F29" s="3"/>
      <c r="G29" s="2"/>
      <c r="H29" s="3"/>
    </row>
    <row r="30" spans="1:8" x14ac:dyDescent="0.25">
      <c r="A30" s="15" t="s">
        <v>38</v>
      </c>
      <c r="B30" s="2"/>
      <c r="C30" s="2"/>
      <c r="D30" s="3"/>
      <c r="E30" s="3"/>
      <c r="F30" s="3"/>
      <c r="G30" s="2"/>
      <c r="H30" s="3"/>
    </row>
    <row r="31" spans="1:8" x14ac:dyDescent="0.25">
      <c r="A31" s="15" t="s">
        <v>39</v>
      </c>
      <c r="B31" s="2"/>
      <c r="C31" s="2"/>
      <c r="D31" s="3"/>
      <c r="E31" s="3"/>
      <c r="F31" s="3"/>
      <c r="G31" s="2"/>
      <c r="H31" s="3"/>
    </row>
    <row r="32" spans="1:8" x14ac:dyDescent="0.25">
      <c r="A32" s="15" t="s">
        <v>40</v>
      </c>
      <c r="B32" s="2"/>
      <c r="C32" s="2"/>
      <c r="D32" s="3"/>
      <c r="E32" s="3"/>
      <c r="F32" s="3"/>
      <c r="G32" s="2"/>
      <c r="H32" s="3"/>
    </row>
    <row r="33" spans="1:8" x14ac:dyDescent="0.25">
      <c r="A33" s="15" t="s">
        <v>41</v>
      </c>
      <c r="B33" s="2"/>
      <c r="C33" s="2"/>
      <c r="D33" s="7"/>
      <c r="E33" s="7"/>
      <c r="F33" s="7"/>
      <c r="G33" s="2"/>
      <c r="H33" s="7"/>
    </row>
    <row r="34" spans="1:8" x14ac:dyDescent="0.25">
      <c r="A34" s="15" t="s">
        <v>42</v>
      </c>
      <c r="B34" s="2"/>
      <c r="C34" s="2"/>
      <c r="D34" s="7"/>
      <c r="E34" s="7"/>
      <c r="F34" s="7"/>
      <c r="G34" s="2"/>
      <c r="H34" s="7"/>
    </row>
    <row r="35" spans="1:8" x14ac:dyDescent="0.25">
      <c r="A35" s="15" t="s">
        <v>43</v>
      </c>
      <c r="B35" s="2"/>
      <c r="C35" s="2"/>
      <c r="D35" s="7"/>
      <c r="E35" s="7"/>
      <c r="F35" s="7"/>
      <c r="G35" s="2"/>
      <c r="H35" s="7"/>
    </row>
    <row r="36" spans="1:8" x14ac:dyDescent="0.25">
      <c r="A36" s="15" t="s">
        <v>44</v>
      </c>
      <c r="B36" s="2"/>
      <c r="C36" s="2"/>
      <c r="D36" s="7"/>
      <c r="E36" s="7"/>
      <c r="F36" s="7"/>
      <c r="G36" s="2"/>
      <c r="H36" s="7"/>
    </row>
    <row r="37" spans="1:8" x14ac:dyDescent="0.25">
      <c r="A37" s="15" t="s">
        <v>45</v>
      </c>
      <c r="B37" s="2"/>
      <c r="C37" s="2"/>
      <c r="D37" s="7"/>
      <c r="E37" s="7"/>
      <c r="F37" s="7"/>
      <c r="G37" s="2"/>
      <c r="H37" s="7"/>
    </row>
    <row r="38" spans="1:8" x14ac:dyDescent="0.25">
      <c r="A38" s="15" t="s">
        <v>46</v>
      </c>
      <c r="B38" s="2"/>
      <c r="C38" s="2"/>
      <c r="D38" s="7"/>
      <c r="E38" s="7"/>
      <c r="F38" s="7"/>
      <c r="G38" s="2"/>
      <c r="H38" s="7"/>
    </row>
    <row r="39" spans="1:8" s="4" customFormat="1" x14ac:dyDescent="0.25">
      <c r="A39" s="4" t="s">
        <v>73</v>
      </c>
      <c r="C39" s="14"/>
      <c r="D39" s="14"/>
      <c r="E39" s="44"/>
      <c r="F39" s="14"/>
      <c r="G39" s="14" t="s">
        <v>73</v>
      </c>
      <c r="H39" s="14"/>
    </row>
    <row r="40" spans="1:8" x14ac:dyDescent="0.25">
      <c r="B40" s="2"/>
      <c r="C40" s="2"/>
      <c r="D40" s="2"/>
      <c r="E40" s="3"/>
      <c r="F40" s="2"/>
      <c r="G40" s="2"/>
      <c r="H40" s="2"/>
    </row>
    <row r="41" spans="1:8" ht="45" x14ac:dyDescent="0.25">
      <c r="A41" s="53" t="s">
        <v>49</v>
      </c>
      <c r="B41" s="63"/>
      <c r="C41" s="63"/>
      <c r="D41" s="63"/>
      <c r="E41" s="3"/>
      <c r="F41" s="2"/>
      <c r="G41" s="2"/>
      <c r="H41" s="2"/>
    </row>
    <row r="42" spans="1:8" x14ac:dyDescent="0.25">
      <c r="A42" s="15" t="s">
        <v>50</v>
      </c>
      <c r="B42" s="2">
        <f>SUM(B17:B28)</f>
        <v>0</v>
      </c>
      <c r="C42" s="2">
        <f t="shared" ref="C42:H42" si="0">SUM(C17:C28)</f>
        <v>0</v>
      </c>
      <c r="D42" s="2">
        <f t="shared" si="0"/>
        <v>0</v>
      </c>
      <c r="E42" s="2"/>
      <c r="F42" s="2">
        <f t="shared" si="0"/>
        <v>0</v>
      </c>
      <c r="G42" s="2">
        <f t="shared" si="0"/>
        <v>0</v>
      </c>
      <c r="H42" s="2">
        <f t="shared" si="0"/>
        <v>0</v>
      </c>
    </row>
    <row r="43" spans="1:8" x14ac:dyDescent="0.25">
      <c r="A43" s="15" t="s">
        <v>51</v>
      </c>
      <c r="B43" s="2">
        <f>SUM(B29:B38)</f>
        <v>0</v>
      </c>
      <c r="C43" s="2">
        <f>SUM(C29:C38)</f>
        <v>0</v>
      </c>
      <c r="D43" s="2">
        <f>SUM(D29:D38)</f>
        <v>0</v>
      </c>
      <c r="E43" s="3"/>
      <c r="F43" s="2">
        <f>SUM(F29:F38)</f>
        <v>0</v>
      </c>
      <c r="G43" s="2">
        <f>SUM(G29:G38)</f>
        <v>0</v>
      </c>
      <c r="H43" s="2">
        <f>SUM(H29:H38)</f>
        <v>0</v>
      </c>
    </row>
    <row r="44" spans="1:8" x14ac:dyDescent="0.25">
      <c r="A44" s="15" t="s">
        <v>52</v>
      </c>
      <c r="B44" s="2">
        <f>B42+B43</f>
        <v>0</v>
      </c>
      <c r="C44" s="2">
        <f t="shared" ref="C44:H44" si="1">C42+C43</f>
        <v>0</v>
      </c>
      <c r="D44" s="2">
        <f t="shared" si="1"/>
        <v>0</v>
      </c>
      <c r="E44" s="2"/>
      <c r="F44" s="2">
        <f t="shared" si="1"/>
        <v>0</v>
      </c>
      <c r="G44" s="2">
        <f t="shared" si="1"/>
        <v>0</v>
      </c>
      <c r="H44" s="2">
        <f t="shared" si="1"/>
        <v>0</v>
      </c>
    </row>
    <row r="45" spans="1:8" x14ac:dyDescent="0.25">
      <c r="B45" s="2"/>
      <c r="C45" s="2"/>
      <c r="D45" s="2"/>
      <c r="E45" s="3"/>
      <c r="F45" s="2"/>
      <c r="G45" s="2"/>
      <c r="H45" s="2"/>
    </row>
    <row r="46" spans="1:8" x14ac:dyDescent="0.25">
      <c r="A46" s="4" t="s">
        <v>53</v>
      </c>
      <c r="B46" s="2"/>
      <c r="C46" s="2"/>
      <c r="D46" s="2"/>
      <c r="E46" s="2"/>
      <c r="F46" s="2"/>
      <c r="G46" s="2"/>
      <c r="H46" s="2"/>
    </row>
    <row r="47" spans="1:8" x14ac:dyDescent="0.25">
      <c r="A47" s="8" t="s">
        <v>55</v>
      </c>
    </row>
  </sheetData>
  <mergeCells count="1">
    <mergeCell ref="A2:H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BC810-050D-4F82-AD07-603ACD6CC51D}">
  <dimension ref="A1:R48"/>
  <sheetViews>
    <sheetView zoomScale="115" zoomScaleNormal="115" workbookViewId="0">
      <selection activeCell="H26" sqref="H26"/>
    </sheetView>
  </sheetViews>
  <sheetFormatPr defaultRowHeight="15" x14ac:dyDescent="0.25"/>
  <cols>
    <col min="1" max="1" width="21.25" customWidth="1"/>
    <col min="2" max="2" width="17" customWidth="1"/>
    <col min="3" max="3" width="13.25" customWidth="1"/>
    <col min="4" max="4" width="16.25" customWidth="1"/>
    <col min="5" max="5" width="13" customWidth="1"/>
    <col min="6" max="6" width="13.25" customWidth="1"/>
    <col min="7" max="9" width="13.625" customWidth="1"/>
    <col min="10" max="10" width="8.75" customWidth="1"/>
    <col min="11" max="12" width="13.625" customWidth="1"/>
    <col min="13" max="14" width="14.875" customWidth="1"/>
    <col min="15" max="15" width="9" customWidth="1"/>
  </cols>
  <sheetData>
    <row r="1" spans="1:18" s="4" customFormat="1" ht="15.75" customHeight="1" x14ac:dyDescent="0.25">
      <c r="A1" s="87" t="s">
        <v>74</v>
      </c>
      <c r="B1" s="87"/>
      <c r="C1" s="87"/>
      <c r="D1" s="87"/>
      <c r="E1" s="87"/>
      <c r="F1" s="87"/>
      <c r="G1" s="87"/>
      <c r="H1" s="87"/>
      <c r="I1" s="87"/>
      <c r="J1" s="87"/>
      <c r="K1" s="87"/>
      <c r="L1" s="87"/>
      <c r="M1" s="87"/>
    </row>
    <row r="2" spans="1:18" s="4" customFormat="1" ht="15.75" customHeight="1" x14ac:dyDescent="0.25">
      <c r="A2" s="26" t="s">
        <v>1</v>
      </c>
      <c r="B2" s="88" t="s">
        <v>57</v>
      </c>
      <c r="C2" s="88"/>
      <c r="D2" s="88"/>
      <c r="E2" s="88"/>
      <c r="F2" s="88"/>
      <c r="G2" s="88"/>
      <c r="H2" s="88"/>
      <c r="I2" s="68" t="s">
        <v>2</v>
      </c>
    </row>
    <row r="3" spans="1:18" ht="30" x14ac:dyDescent="0.25">
      <c r="A3" s="35" t="s">
        <v>3</v>
      </c>
      <c r="B3" s="28" t="s">
        <v>75</v>
      </c>
      <c r="C3" s="28" t="s">
        <v>76</v>
      </c>
      <c r="D3" s="93" t="s">
        <v>58</v>
      </c>
      <c r="E3" s="93"/>
      <c r="F3" s="92" t="s">
        <v>59</v>
      </c>
      <c r="G3" s="92"/>
      <c r="H3" s="28" t="s">
        <v>77</v>
      </c>
      <c r="I3" s="32" t="s">
        <v>4</v>
      </c>
    </row>
    <row r="4" spans="1:18" ht="60" x14ac:dyDescent="0.25">
      <c r="A4" s="35" t="s">
        <v>5</v>
      </c>
      <c r="B4" s="28" t="s">
        <v>78</v>
      </c>
      <c r="C4" s="28" t="s">
        <v>76</v>
      </c>
      <c r="D4" s="28" t="s">
        <v>79</v>
      </c>
      <c r="E4" s="45" t="s">
        <v>80</v>
      </c>
      <c r="F4" s="28" t="s">
        <v>81</v>
      </c>
      <c r="G4" s="32" t="s">
        <v>82</v>
      </c>
      <c r="H4" s="28" t="s">
        <v>83</v>
      </c>
      <c r="I4" s="32" t="s">
        <v>84</v>
      </c>
      <c r="J4" s="1"/>
      <c r="K4" s="33" t="s">
        <v>9</v>
      </c>
      <c r="L4" s="53" t="s">
        <v>10</v>
      </c>
      <c r="M4" s="35" t="s">
        <v>11</v>
      </c>
      <c r="O4" s="1"/>
      <c r="Q4" s="1"/>
      <c r="R4" s="1"/>
    </row>
    <row r="5" spans="1:18" ht="15.75" thickBot="1" x14ac:dyDescent="0.3">
      <c r="A5" s="41" t="s">
        <v>12</v>
      </c>
      <c r="B5" s="20">
        <v>2.63E-2</v>
      </c>
      <c r="C5" s="46">
        <v>2.1999999999999999E-2</v>
      </c>
      <c r="D5" s="46">
        <v>2.1999999999999999E-2</v>
      </c>
      <c r="E5" s="47"/>
      <c r="F5" s="46">
        <v>2.1999999999999999E-2</v>
      </c>
      <c r="G5" s="47"/>
      <c r="H5" s="46">
        <v>2.1999999999999999E-2</v>
      </c>
      <c r="I5" s="69">
        <v>3.3000000000000002E-2</v>
      </c>
      <c r="J5" s="20"/>
      <c r="K5" s="21"/>
      <c r="L5" s="20"/>
      <c r="M5" s="20"/>
      <c r="O5" s="1"/>
      <c r="Q5" s="1"/>
      <c r="R5" s="1"/>
    </row>
    <row r="6" spans="1:18" ht="16.5" customHeight="1" x14ac:dyDescent="0.25">
      <c r="A6" s="62" t="s">
        <v>15</v>
      </c>
      <c r="B6" s="56"/>
      <c r="C6" s="56"/>
      <c r="D6" s="56"/>
      <c r="E6" s="56"/>
      <c r="F6" s="56"/>
      <c r="G6" s="56"/>
      <c r="H6" s="56"/>
      <c r="I6" s="56"/>
      <c r="J6" s="56"/>
      <c r="K6" s="56"/>
      <c r="L6" s="56"/>
      <c r="M6" s="56"/>
      <c r="O6" s="3"/>
      <c r="Q6" s="3"/>
    </row>
    <row r="7" spans="1:18" s="55" customFormat="1" x14ac:dyDescent="0.25">
      <c r="A7" s="57" t="s">
        <v>16</v>
      </c>
      <c r="B7" s="58"/>
      <c r="C7" s="58"/>
      <c r="D7" s="59"/>
      <c r="E7" s="59"/>
      <c r="F7" s="59"/>
      <c r="G7" s="60"/>
      <c r="H7" s="59"/>
      <c r="I7" s="59"/>
      <c r="J7" s="59"/>
      <c r="K7" s="59"/>
      <c r="L7" s="59"/>
      <c r="M7" s="59"/>
      <c r="O7" s="54"/>
      <c r="Q7" s="54"/>
    </row>
    <row r="8" spans="1:18" s="55" customFormat="1" x14ac:dyDescent="0.25">
      <c r="A8" s="57" t="s">
        <v>17</v>
      </c>
      <c r="B8" s="58"/>
      <c r="C8" s="58"/>
      <c r="D8" s="59"/>
      <c r="E8" s="59"/>
      <c r="F8" s="59"/>
      <c r="G8" s="60"/>
      <c r="H8" s="59"/>
      <c r="I8" s="59"/>
      <c r="J8" s="59"/>
      <c r="K8" s="59"/>
      <c r="L8" s="59"/>
      <c r="M8" s="59"/>
      <c r="O8" s="54"/>
      <c r="Q8" s="54"/>
    </row>
    <row r="9" spans="1:18" s="55" customFormat="1" x14ac:dyDescent="0.25">
      <c r="A9" s="57" t="s">
        <v>18</v>
      </c>
      <c r="B9" s="58"/>
      <c r="C9" s="58"/>
      <c r="D9" s="59"/>
      <c r="E9" s="59"/>
      <c r="F9" s="59"/>
      <c r="G9" s="60"/>
      <c r="H9" s="61"/>
      <c r="I9" s="61"/>
      <c r="J9" s="61"/>
      <c r="K9" s="59"/>
      <c r="L9" s="61"/>
      <c r="M9" s="61"/>
      <c r="O9" s="54"/>
      <c r="Q9" s="54"/>
    </row>
    <row r="10" spans="1:18" s="55" customFormat="1" x14ac:dyDescent="0.25">
      <c r="A10" s="57" t="s">
        <v>19</v>
      </c>
      <c r="B10" s="58">
        <v>1128360</v>
      </c>
      <c r="C10" s="58">
        <v>5643719.4000000004</v>
      </c>
      <c r="D10" s="59">
        <v>9614999.9999999981</v>
      </c>
      <c r="E10" s="59">
        <v>37352965</v>
      </c>
      <c r="F10" s="59">
        <v>2932488.1840000004</v>
      </c>
      <c r="G10" s="60">
        <v>1865000</v>
      </c>
      <c r="H10" s="59">
        <v>9000000</v>
      </c>
      <c r="I10" s="59"/>
      <c r="J10" s="59"/>
      <c r="K10" s="59">
        <f t="shared" ref="K10:K37" si="0">SUM(B10:I10)</f>
        <v>67537532.583999991</v>
      </c>
      <c r="L10" s="59"/>
      <c r="M10" s="59">
        <f t="shared" ref="M10:M37" si="1">K10-L10</f>
        <v>67537532.583999991</v>
      </c>
      <c r="O10" s="54"/>
      <c r="Q10" s="54"/>
    </row>
    <row r="11" spans="1:18" s="55" customFormat="1" x14ac:dyDescent="0.25">
      <c r="A11" s="57" t="s">
        <v>20</v>
      </c>
      <c r="B11" s="58">
        <v>1184100.8</v>
      </c>
      <c r="C11" s="58">
        <v>5767881.2268000003</v>
      </c>
      <c r="D11" s="59">
        <v>9826529.9999999981</v>
      </c>
      <c r="E11" s="59">
        <v>13659228</v>
      </c>
      <c r="F11" s="59">
        <v>2997002.924048</v>
      </c>
      <c r="G11" s="60">
        <v>1865000</v>
      </c>
      <c r="H11" s="59">
        <v>9000000</v>
      </c>
      <c r="I11" s="59"/>
      <c r="J11" s="59"/>
      <c r="K11" s="59">
        <f t="shared" si="0"/>
        <v>44299742.950847998</v>
      </c>
      <c r="L11" s="59"/>
      <c r="M11" s="59">
        <f t="shared" si="1"/>
        <v>44299742.950847998</v>
      </c>
      <c r="O11" s="54"/>
      <c r="Q11" s="54"/>
    </row>
    <row r="12" spans="1:18" s="55" customFormat="1" x14ac:dyDescent="0.25">
      <c r="A12" s="57" t="s">
        <v>21</v>
      </c>
      <c r="B12" s="58">
        <v>1220807.6000000001</v>
      </c>
      <c r="C12" s="58">
        <v>5894774.6137896003</v>
      </c>
      <c r="D12" s="59">
        <v>10042713.659999998</v>
      </c>
      <c r="E12" s="59">
        <v>7066796</v>
      </c>
      <c r="F12" s="59">
        <v>3062936.9883770561</v>
      </c>
      <c r="G12" s="60">
        <v>1865000</v>
      </c>
      <c r="H12" s="59">
        <v>9203500</v>
      </c>
      <c r="I12" s="59">
        <v>51772607</v>
      </c>
      <c r="J12" s="59"/>
      <c r="K12" s="59">
        <f t="shared" si="0"/>
        <v>90129135.862166658</v>
      </c>
      <c r="L12" s="59"/>
      <c r="M12" s="59">
        <f t="shared" si="1"/>
        <v>90129135.862166658</v>
      </c>
      <c r="O12" s="54"/>
      <c r="Q12" s="54"/>
    </row>
    <row r="13" spans="1:18" s="55" customFormat="1" x14ac:dyDescent="0.25">
      <c r="A13" s="57" t="s">
        <v>22</v>
      </c>
      <c r="B13" s="58">
        <v>1278063.2000000002</v>
      </c>
      <c r="C13" s="58">
        <v>6024459.655292972</v>
      </c>
      <c r="D13" s="59">
        <v>10263653.360519998</v>
      </c>
      <c r="E13" s="59">
        <v>7286742</v>
      </c>
      <c r="F13" s="59">
        <v>3130321.6021213518</v>
      </c>
      <c r="G13" s="60">
        <v>1865000</v>
      </c>
      <c r="H13" s="59">
        <v>9405977</v>
      </c>
      <c r="I13" s="59">
        <v>51771376</v>
      </c>
      <c r="J13" s="59"/>
      <c r="K13" s="59">
        <f t="shared" si="0"/>
        <v>91025592.817934319</v>
      </c>
      <c r="L13" s="59"/>
      <c r="M13" s="59">
        <f t="shared" si="1"/>
        <v>91025592.817934319</v>
      </c>
      <c r="O13" s="54"/>
      <c r="Q13" s="54"/>
    </row>
    <row r="14" spans="1:18" s="55" customFormat="1" x14ac:dyDescent="0.25">
      <c r="A14" s="57" t="s">
        <v>23</v>
      </c>
      <c r="B14" s="58">
        <v>1311676.4000000001</v>
      </c>
      <c r="C14" s="58">
        <v>6156997.7677094173</v>
      </c>
      <c r="D14" s="59">
        <v>10489453.734451437</v>
      </c>
      <c r="E14" s="59">
        <v>7510648.8000000007</v>
      </c>
      <c r="F14" s="59">
        <v>3199188.6773680216</v>
      </c>
      <c r="G14" s="60">
        <v>1865000</v>
      </c>
      <c r="H14" s="59">
        <v>9612908.493999999</v>
      </c>
      <c r="I14" s="59">
        <v>51975002</v>
      </c>
      <c r="J14" s="59"/>
      <c r="K14" s="59">
        <f t="shared" si="0"/>
        <v>92120875.873528868</v>
      </c>
      <c r="L14" s="59"/>
      <c r="M14" s="59">
        <f t="shared" si="1"/>
        <v>92120875.873528868</v>
      </c>
      <c r="O14" s="54"/>
      <c r="Q14" s="54"/>
    </row>
    <row r="15" spans="1:18" s="55" customFormat="1" x14ac:dyDescent="0.25">
      <c r="A15" s="57" t="s">
        <v>24</v>
      </c>
      <c r="B15" s="58">
        <v>1371095.2000000002</v>
      </c>
      <c r="C15" s="58">
        <v>6292451.7185990242</v>
      </c>
      <c r="D15" s="59">
        <v>10720221.71660937</v>
      </c>
      <c r="E15" s="59">
        <v>7738810.3476000018</v>
      </c>
      <c r="F15" s="59">
        <v>3269570.8282701182</v>
      </c>
      <c r="G15" s="60">
        <v>1865000</v>
      </c>
      <c r="H15" s="59">
        <v>9824392.4808679987</v>
      </c>
      <c r="I15" s="59">
        <v>51273954</v>
      </c>
      <c r="J15" s="59"/>
      <c r="K15" s="59">
        <f t="shared" si="0"/>
        <v>92355496.291946515</v>
      </c>
      <c r="L15" s="59"/>
      <c r="M15" s="59">
        <f t="shared" si="1"/>
        <v>92355496.291946515</v>
      </c>
      <c r="O15" s="54"/>
      <c r="Q15" s="54"/>
    </row>
    <row r="16" spans="1:18" x14ac:dyDescent="0.25">
      <c r="A16" s="15" t="s">
        <v>25</v>
      </c>
      <c r="B16" s="2">
        <v>1407154.8000000003</v>
      </c>
      <c r="C16" s="2">
        <v>6430885.6564082028</v>
      </c>
      <c r="D16" s="3">
        <v>10956066.594374776</v>
      </c>
      <c r="E16" s="3">
        <v>7971526.921247201</v>
      </c>
      <c r="F16" s="3">
        <v>3341501.386492061</v>
      </c>
      <c r="G16" s="7">
        <v>1865000</v>
      </c>
      <c r="H16" s="3">
        <v>10040529.115447095</v>
      </c>
      <c r="I16" s="3">
        <v>51373803</v>
      </c>
      <c r="J16" s="3"/>
      <c r="K16" s="70">
        <f t="shared" si="0"/>
        <v>93386467.47396934</v>
      </c>
      <c r="L16" s="3"/>
      <c r="M16" s="70">
        <f t="shared" si="1"/>
        <v>93386467.47396934</v>
      </c>
      <c r="O16" s="3"/>
      <c r="Q16" s="3"/>
    </row>
    <row r="17" spans="1:17" x14ac:dyDescent="0.25">
      <c r="A17" s="15" t="s">
        <v>26</v>
      </c>
      <c r="B17" s="2">
        <v>1444162.4</v>
      </c>
      <c r="C17" s="2">
        <v>6572365.1408491833</v>
      </c>
      <c r="D17" s="3">
        <v>11197100.059451021</v>
      </c>
      <c r="E17" s="3">
        <v>8209099.1815146394</v>
      </c>
      <c r="F17" s="3">
        <v>3415014.4169948865</v>
      </c>
      <c r="G17" s="7">
        <v>1865000</v>
      </c>
      <c r="H17" s="3">
        <v>10261420.755986933</v>
      </c>
      <c r="I17" s="3">
        <v>53610264</v>
      </c>
      <c r="J17" s="3"/>
      <c r="K17" s="70">
        <f t="shared" si="0"/>
        <v>96574425.954796657</v>
      </c>
      <c r="L17" s="3"/>
      <c r="M17" s="70">
        <f t="shared" si="1"/>
        <v>96574425.954796657</v>
      </c>
      <c r="O17" s="3"/>
      <c r="Q17" s="3"/>
    </row>
    <row r="18" spans="1:17" x14ac:dyDescent="0.25">
      <c r="A18" s="15" t="s">
        <v>27</v>
      </c>
      <c r="B18" s="2">
        <v>1482144</v>
      </c>
      <c r="C18" s="2">
        <v>6716957.1739478651</v>
      </c>
      <c r="D18" s="3">
        <v>11443436.260758944</v>
      </c>
      <c r="E18" s="3">
        <v>8455538.2235079631</v>
      </c>
      <c r="F18" s="3">
        <v>3490144.7341687735</v>
      </c>
      <c r="G18" s="7">
        <v>1865000</v>
      </c>
      <c r="H18" s="3">
        <v>10487172.012618648</v>
      </c>
      <c r="I18" s="3">
        <v>54100810</v>
      </c>
      <c r="J18" s="3"/>
      <c r="K18" s="70">
        <f t="shared" si="0"/>
        <v>98041202.405002192</v>
      </c>
      <c r="L18" s="3"/>
      <c r="M18" s="70">
        <f t="shared" si="1"/>
        <v>98041202.405002192</v>
      </c>
      <c r="O18" s="3"/>
      <c r="Q18" s="3"/>
    </row>
    <row r="19" spans="1:17" x14ac:dyDescent="0.25">
      <c r="A19" s="15" t="s">
        <v>28</v>
      </c>
      <c r="B19" s="2">
        <v>1521124.8000000003</v>
      </c>
      <c r="C19" s="2">
        <v>6864730.2317747185</v>
      </c>
      <c r="D19" s="3">
        <v>11695191.858495641</v>
      </c>
      <c r="E19" s="3">
        <v>7639323.6304251365</v>
      </c>
      <c r="F19" s="3">
        <v>3566927.9183204873</v>
      </c>
      <c r="G19" s="7">
        <v>1865000</v>
      </c>
      <c r="H19" s="3">
        <v>10717889.79689626</v>
      </c>
      <c r="I19" s="3">
        <v>54718712</v>
      </c>
      <c r="J19" s="3"/>
      <c r="K19" s="70">
        <f t="shared" si="0"/>
        <v>98588900.235912248</v>
      </c>
      <c r="L19" s="3"/>
      <c r="M19" s="70">
        <f t="shared" si="1"/>
        <v>98588900.235912248</v>
      </c>
      <c r="O19" s="3"/>
      <c r="Q19" s="3"/>
    </row>
    <row r="20" spans="1:17" x14ac:dyDescent="0.25">
      <c r="A20" s="15" t="s">
        <v>29</v>
      </c>
      <c r="B20" s="2">
        <v>1561130</v>
      </c>
      <c r="C20" s="2">
        <v>7015754.2968737623</v>
      </c>
      <c r="D20" s="3">
        <v>11952486.079382546</v>
      </c>
      <c r="E20" s="3">
        <v>6702990.728294488</v>
      </c>
      <c r="F20" s="3">
        <v>3645400.3325235378</v>
      </c>
      <c r="G20" s="7">
        <v>1865000</v>
      </c>
      <c r="H20" s="3">
        <v>10953683.372427979</v>
      </c>
      <c r="I20" s="3">
        <f>I19*(1+$I$5)</f>
        <v>56524429.495999992</v>
      </c>
      <c r="J20" s="3"/>
      <c r="K20" s="70">
        <f t="shared" si="0"/>
        <v>100220874.3055023</v>
      </c>
      <c r="L20" s="3"/>
      <c r="M20" s="70">
        <f t="shared" si="1"/>
        <v>100220874.3055023</v>
      </c>
      <c r="O20" s="3"/>
      <c r="Q20" s="3"/>
    </row>
    <row r="21" spans="1:17" x14ac:dyDescent="0.25">
      <c r="A21" s="15" t="s">
        <v>30</v>
      </c>
      <c r="B21" s="2">
        <v>1602188</v>
      </c>
      <c r="C21" s="2">
        <v>7170100.8914049855</v>
      </c>
      <c r="D21" s="3">
        <v>12215440.773128962</v>
      </c>
      <c r="E21" s="3">
        <v>9469464.6419169679</v>
      </c>
      <c r="F21" s="3">
        <v>3725599.1398390559</v>
      </c>
      <c r="G21" s="7">
        <v>1865000</v>
      </c>
      <c r="H21" s="3">
        <v>11194664.406621393</v>
      </c>
      <c r="I21" s="3">
        <f t="shared" ref="I21:I37" si="2">I20*(1+$I$5)</f>
        <v>58389735.669367984</v>
      </c>
      <c r="J21" s="3"/>
      <c r="K21" s="70">
        <f t="shared" si="0"/>
        <v>105632193.52227935</v>
      </c>
      <c r="L21" s="3"/>
      <c r="M21" s="70">
        <f t="shared" si="1"/>
        <v>105632193.52227935</v>
      </c>
      <c r="O21" s="3"/>
      <c r="Q21" s="3"/>
    </row>
    <row r="22" spans="1:17" x14ac:dyDescent="0.25">
      <c r="A22" s="15" t="s">
        <v>31</v>
      </c>
      <c r="B22" s="2">
        <v>1644325.6</v>
      </c>
      <c r="C22" s="2">
        <v>7327843.1110158954</v>
      </c>
      <c r="D22" s="3">
        <v>12484180.470137799</v>
      </c>
      <c r="E22" s="3">
        <v>9737854.3520391416</v>
      </c>
      <c r="F22" s="3">
        <v>3807562.3209155155</v>
      </c>
      <c r="G22" s="7">
        <v>1865000</v>
      </c>
      <c r="H22" s="3">
        <v>11440947.023567064</v>
      </c>
      <c r="I22" s="3">
        <f t="shared" si="2"/>
        <v>60316596.946457125</v>
      </c>
      <c r="J22" s="3"/>
      <c r="K22" s="70">
        <f t="shared" si="0"/>
        <v>108624309.82413253</v>
      </c>
      <c r="L22" s="3"/>
      <c r="M22" s="70">
        <f t="shared" si="1"/>
        <v>108624309.82413253</v>
      </c>
      <c r="O22" s="3"/>
      <c r="Q22" s="3"/>
    </row>
    <row r="23" spans="1:17" x14ac:dyDescent="0.25">
      <c r="A23" s="15" t="s">
        <v>32</v>
      </c>
      <c r="B23" s="2">
        <v>1687571.2000000002</v>
      </c>
      <c r="C23" s="2">
        <v>7489055.6594582452</v>
      </c>
      <c r="D23" s="3">
        <v>12758832.44048083</v>
      </c>
      <c r="E23" s="3">
        <v>10009970.753784003</v>
      </c>
      <c r="F23" s="3">
        <v>3891328.6919756569</v>
      </c>
      <c r="G23" s="7">
        <v>1865000</v>
      </c>
      <c r="H23" s="3">
        <v>11692647.858085539</v>
      </c>
      <c r="I23" s="3">
        <f t="shared" si="2"/>
        <v>62307044.645690203</v>
      </c>
      <c r="J23" s="3"/>
      <c r="K23" s="70">
        <f t="shared" si="0"/>
        <v>111701451.24947448</v>
      </c>
      <c r="L23" s="3"/>
      <c r="M23" s="70">
        <f t="shared" si="1"/>
        <v>111701451.24947448</v>
      </c>
      <c r="O23" s="3"/>
      <c r="Q23" s="3"/>
    </row>
    <row r="24" spans="1:17" x14ac:dyDescent="0.25">
      <c r="A24" s="15" t="s">
        <v>33</v>
      </c>
      <c r="B24" s="2">
        <v>1731954.4</v>
      </c>
      <c r="C24" s="2">
        <v>7653814.8839663267</v>
      </c>
      <c r="D24" s="3">
        <v>13039526.754171409</v>
      </c>
      <c r="E24" s="3">
        <v>10288073.716367252</v>
      </c>
      <c r="F24" s="3">
        <v>3976937.9231991209</v>
      </c>
      <c r="G24" s="7">
        <v>1865000</v>
      </c>
      <c r="H24" s="3">
        <v>11949886.110963419</v>
      </c>
      <c r="I24" s="3">
        <f t="shared" si="2"/>
        <v>64363177.118997976</v>
      </c>
      <c r="J24" s="3"/>
      <c r="K24" s="70">
        <f t="shared" si="0"/>
        <v>114868370.90766551</v>
      </c>
      <c r="L24" s="3"/>
      <c r="M24" s="70">
        <f t="shared" si="1"/>
        <v>114868370.90766551</v>
      </c>
      <c r="O24" s="3"/>
      <c r="Q24" s="3"/>
    </row>
    <row r="25" spans="1:17" x14ac:dyDescent="0.25">
      <c r="A25" s="15" t="s">
        <v>34</v>
      </c>
      <c r="B25" s="2">
        <v>1777504.8000000003</v>
      </c>
      <c r="C25" s="2">
        <v>7822198.8114135861</v>
      </c>
      <c r="D25" s="3">
        <v>13326396.34276318</v>
      </c>
      <c r="E25" s="3">
        <v>10572294.944127332</v>
      </c>
      <c r="F25" s="3">
        <v>4064430.5575095015</v>
      </c>
      <c r="G25" s="7">
        <v>1865000</v>
      </c>
      <c r="H25" s="3">
        <v>12212783.605404615</v>
      </c>
      <c r="I25" s="3">
        <f t="shared" si="2"/>
        <v>66487161.963924907</v>
      </c>
      <c r="J25" s="3"/>
      <c r="K25" s="70">
        <f t="shared" si="0"/>
        <v>118127771.02514312</v>
      </c>
      <c r="L25" s="3"/>
      <c r="M25" s="70">
        <f t="shared" si="1"/>
        <v>118127771.02514312</v>
      </c>
      <c r="O25" s="3"/>
      <c r="Q25" s="3"/>
    </row>
    <row r="26" spans="1:17" x14ac:dyDescent="0.25">
      <c r="A26" s="15" t="s">
        <v>35</v>
      </c>
      <c r="B26" s="2">
        <v>1824253.2000000002</v>
      </c>
      <c r="C26" s="2">
        <v>7994287.1852646852</v>
      </c>
      <c r="D26" s="3">
        <v>13619577.06230397</v>
      </c>
      <c r="E26" s="3">
        <v>10862769.038898135</v>
      </c>
      <c r="F26" s="3">
        <v>4153848.0297747105</v>
      </c>
      <c r="G26" s="7">
        <v>1865000</v>
      </c>
      <c r="H26" s="3">
        <v>12481464.844723519</v>
      </c>
      <c r="I26" s="3">
        <f t="shared" si="2"/>
        <v>68681238.308734417</v>
      </c>
      <c r="J26" s="3"/>
      <c r="K26" s="70">
        <f t="shared" si="0"/>
        <v>121482437.66969943</v>
      </c>
      <c r="L26" s="3"/>
      <c r="M26" s="70">
        <f t="shared" si="1"/>
        <v>121482437.66969943</v>
      </c>
      <c r="O26" s="3"/>
      <c r="Q26" s="3"/>
    </row>
    <row r="27" spans="1:17" x14ac:dyDescent="0.25">
      <c r="A27" s="15" t="s">
        <v>36</v>
      </c>
      <c r="B27" s="2">
        <v>1872230.8000000003</v>
      </c>
      <c r="C27" s="2">
        <v>8170161.5033405088</v>
      </c>
      <c r="D27" s="3">
        <v>13919207.757674657</v>
      </c>
      <c r="E27" s="3">
        <v>11159633.563753892</v>
      </c>
      <c r="F27" s="3">
        <v>4245232.6864297539</v>
      </c>
      <c r="G27" s="7">
        <v>1865000</v>
      </c>
      <c r="H27" s="3">
        <v>12756057.071307436</v>
      </c>
      <c r="I27" s="3">
        <f t="shared" si="2"/>
        <v>70947719.172922641</v>
      </c>
      <c r="J27" s="3"/>
      <c r="K27" s="70">
        <f t="shared" si="0"/>
        <v>124935242.55542889</v>
      </c>
      <c r="L27" s="3"/>
      <c r="M27" s="70">
        <f t="shared" si="1"/>
        <v>124935242.55542889</v>
      </c>
      <c r="O27" s="3"/>
      <c r="Q27" s="3"/>
    </row>
    <row r="28" spans="1:17" x14ac:dyDescent="0.25">
      <c r="A28" s="15" t="s">
        <v>37</v>
      </c>
      <c r="B28" s="2">
        <v>1921470.8000000003</v>
      </c>
      <c r="C28" s="2">
        <v>8349905.0564139998</v>
      </c>
      <c r="D28" s="3">
        <v>14225430.328343499</v>
      </c>
      <c r="E28" s="3">
        <v>11463029.108156478</v>
      </c>
      <c r="F28" s="3">
        <v>4338627.8055312093</v>
      </c>
      <c r="G28" s="7">
        <v>1865000</v>
      </c>
      <c r="H28" s="3">
        <v>13036690.326876201</v>
      </c>
      <c r="I28" s="3">
        <f t="shared" si="2"/>
        <v>73288993.905629084</v>
      </c>
      <c r="J28" s="3"/>
      <c r="K28" s="70">
        <f t="shared" si="0"/>
        <v>128489147.33095047</v>
      </c>
      <c r="L28" s="3"/>
      <c r="M28" s="70">
        <f t="shared" si="1"/>
        <v>128489147.33095047</v>
      </c>
      <c r="O28" s="3"/>
      <c r="Q28" s="3"/>
    </row>
    <row r="29" spans="1:17" x14ac:dyDescent="0.25">
      <c r="A29" s="15" t="s">
        <v>38</v>
      </c>
      <c r="B29" s="2">
        <v>1972006</v>
      </c>
      <c r="C29" s="2">
        <v>8533602.9676551074</v>
      </c>
      <c r="D29" s="3">
        <v>14538389.795567056</v>
      </c>
      <c r="E29" s="3">
        <v>11773099.354535921</v>
      </c>
      <c r="F29" s="3">
        <v>4434077.6172528956</v>
      </c>
      <c r="G29" s="7">
        <v>1865000</v>
      </c>
      <c r="H29" s="3">
        <v>13323497.514067477</v>
      </c>
      <c r="I29" s="3">
        <f t="shared" si="2"/>
        <v>75707530.704514831</v>
      </c>
      <c r="J29" s="3"/>
      <c r="K29" s="70">
        <f t="shared" si="0"/>
        <v>132147203.95359328</v>
      </c>
      <c r="L29" s="3"/>
      <c r="M29" s="70">
        <f t="shared" si="1"/>
        <v>132147203.95359328</v>
      </c>
      <c r="O29" s="3"/>
      <c r="Q29" s="3"/>
    </row>
    <row r="30" spans="1:17" x14ac:dyDescent="0.25">
      <c r="A30" s="15" t="s">
        <v>39</v>
      </c>
      <c r="B30" s="2">
        <v>2023870</v>
      </c>
      <c r="C30" s="2">
        <v>8721342.2329435199</v>
      </c>
      <c r="D30" s="3">
        <v>14858234.371069532</v>
      </c>
      <c r="E30" s="3">
        <v>14171064.14633571</v>
      </c>
      <c r="F30" s="3">
        <v>4531627.324832459</v>
      </c>
      <c r="G30" s="7">
        <v>1865000</v>
      </c>
      <c r="H30" s="3">
        <v>13616614.459376963</v>
      </c>
      <c r="I30" s="3">
        <f t="shared" si="2"/>
        <v>78205879.217763811</v>
      </c>
      <c r="J30" s="3"/>
      <c r="K30" s="70">
        <f t="shared" si="0"/>
        <v>137993631.75232199</v>
      </c>
      <c r="L30" s="3"/>
      <c r="M30" s="70">
        <f t="shared" si="1"/>
        <v>137993631.75232199</v>
      </c>
      <c r="O30" s="3"/>
      <c r="Q30" s="3"/>
    </row>
    <row r="31" spans="1:17" x14ac:dyDescent="0.25">
      <c r="A31" s="15" t="s">
        <v>40</v>
      </c>
      <c r="B31" s="2">
        <v>2077098.4</v>
      </c>
      <c r="C31" s="2">
        <v>8913211.7620682772</v>
      </c>
      <c r="D31" s="3">
        <v>15185115.527233062</v>
      </c>
      <c r="E31" s="3">
        <v>14494927.557555098</v>
      </c>
      <c r="F31" s="3">
        <v>4631323.1259787697</v>
      </c>
      <c r="G31" s="7">
        <v>1865000</v>
      </c>
      <c r="H31" s="3">
        <v>13916179.977483254</v>
      </c>
      <c r="I31" s="3">
        <f t="shared" si="2"/>
        <v>80786673.231950015</v>
      </c>
      <c r="J31" s="3"/>
      <c r="K31" s="70">
        <f t="shared" si="0"/>
        <v>141869529.58226848</v>
      </c>
      <c r="L31" s="3"/>
      <c r="M31" s="70">
        <f t="shared" si="1"/>
        <v>141869529.58226848</v>
      </c>
      <c r="O31" s="3"/>
      <c r="Q31" s="3"/>
    </row>
    <row r="32" spans="1:17" x14ac:dyDescent="0.25">
      <c r="A32" s="15" t="s">
        <v>41</v>
      </c>
      <c r="B32" s="2">
        <v>2131726</v>
      </c>
      <c r="C32" s="2">
        <v>9109302.4208337795</v>
      </c>
      <c r="D32" s="3">
        <v>15519188.068832191</v>
      </c>
      <c r="E32" s="3">
        <v>15375915.963821311</v>
      </c>
      <c r="F32" s="3">
        <v>4733212.2347503062</v>
      </c>
      <c r="G32" s="7">
        <v>1865000</v>
      </c>
      <c r="H32" s="3">
        <v>14222335.936987886</v>
      </c>
      <c r="I32" s="3">
        <f t="shared" si="2"/>
        <v>83452633.44860436</v>
      </c>
      <c r="J32" s="3"/>
      <c r="K32" s="70">
        <f t="shared" si="0"/>
        <v>146409314.07382983</v>
      </c>
      <c r="L32" s="3"/>
      <c r="M32" s="70">
        <f t="shared" si="1"/>
        <v>146409314.07382983</v>
      </c>
      <c r="O32" s="7"/>
      <c r="Q32" s="13"/>
    </row>
    <row r="33" spans="1:17" x14ac:dyDescent="0.25">
      <c r="A33" s="42" t="s">
        <v>42</v>
      </c>
      <c r="B33" s="22">
        <f>B32*1.0263</f>
        <v>2187790.3938000002</v>
      </c>
      <c r="C33" s="22">
        <f t="shared" ref="C33:D37" si="3">C32*1.022</f>
        <v>9309707.0740921237</v>
      </c>
      <c r="D33" s="22">
        <f t="shared" si="3"/>
        <v>15860610.206346499</v>
      </c>
      <c r="E33" s="22"/>
      <c r="F33" s="22">
        <f>F32*1.022</f>
        <v>4837342.903914813</v>
      </c>
      <c r="G33" s="23">
        <v>1865000</v>
      </c>
      <c r="H33" s="22">
        <f>H32*1.022</f>
        <v>14535227.327601619</v>
      </c>
      <c r="I33" s="23">
        <f t="shared" si="2"/>
        <v>86206570.35240829</v>
      </c>
      <c r="J33" s="3"/>
      <c r="K33" s="71">
        <f t="shared" si="0"/>
        <v>134802248.25816333</v>
      </c>
      <c r="L33" s="23"/>
      <c r="M33" s="71">
        <f t="shared" si="1"/>
        <v>134802248.25816333</v>
      </c>
      <c r="O33" s="7"/>
      <c r="Q33" s="7"/>
    </row>
    <row r="34" spans="1:17" x14ac:dyDescent="0.25">
      <c r="A34" s="42" t="s">
        <v>43</v>
      </c>
      <c r="B34" s="22">
        <f>B33*1.0263</f>
        <v>2245329.2811569404</v>
      </c>
      <c r="C34" s="22">
        <f t="shared" si="3"/>
        <v>9514520.62972215</v>
      </c>
      <c r="D34" s="22">
        <f t="shared" si="3"/>
        <v>16209543.630886123</v>
      </c>
      <c r="E34" s="23"/>
      <c r="F34" s="22">
        <f>F33*1.022</f>
        <v>4943764.447800939</v>
      </c>
      <c r="G34" s="23">
        <v>1865000</v>
      </c>
      <c r="H34" s="22">
        <f>H33*1.022</f>
        <v>14855002.328808855</v>
      </c>
      <c r="I34" s="23">
        <f t="shared" si="2"/>
        <v>89051387.174037755</v>
      </c>
      <c r="J34" s="3"/>
      <c r="K34" s="71">
        <f t="shared" si="0"/>
        <v>138684547.49241275</v>
      </c>
      <c r="L34" s="23"/>
      <c r="M34" s="71">
        <f t="shared" si="1"/>
        <v>138684547.49241275</v>
      </c>
      <c r="O34" s="7"/>
      <c r="Q34" s="7"/>
    </row>
    <row r="35" spans="1:17" x14ac:dyDescent="0.25">
      <c r="A35" s="42" t="s">
        <v>44</v>
      </c>
      <c r="B35" s="22">
        <f>B34*1.0263</f>
        <v>2304381.4412513678</v>
      </c>
      <c r="C35" s="22">
        <f t="shared" si="3"/>
        <v>9723840.0835760366</v>
      </c>
      <c r="D35" s="22">
        <f t="shared" si="3"/>
        <v>16566153.590765618</v>
      </c>
      <c r="E35" s="23"/>
      <c r="F35" s="22">
        <f>F34*1.022</f>
        <v>5052527.2656525597</v>
      </c>
      <c r="G35" s="23">
        <v>1865000</v>
      </c>
      <c r="H35" s="22">
        <f>H34*1.022</f>
        <v>15181812.38004265</v>
      </c>
      <c r="I35" s="23">
        <f t="shared" si="2"/>
        <v>91990082.950780988</v>
      </c>
      <c r="J35" s="3"/>
      <c r="K35" s="71">
        <f t="shared" si="0"/>
        <v>142683797.71206921</v>
      </c>
      <c r="L35" s="23"/>
      <c r="M35" s="71">
        <f t="shared" si="1"/>
        <v>142683797.71206921</v>
      </c>
      <c r="O35" s="7"/>
      <c r="Q35" s="7"/>
    </row>
    <row r="36" spans="1:17" x14ac:dyDescent="0.25">
      <c r="A36" s="42" t="s">
        <v>45</v>
      </c>
      <c r="B36" s="22">
        <f>B35*1.0263</f>
        <v>2364986.6731562787</v>
      </c>
      <c r="C36" s="22">
        <f t="shared" si="3"/>
        <v>9937764.56541471</v>
      </c>
      <c r="D36" s="22">
        <f t="shared" si="3"/>
        <v>16930608.969762463</v>
      </c>
      <c r="E36" s="23"/>
      <c r="F36" s="22">
        <f>F35*1.022</f>
        <v>5163682.8654969158</v>
      </c>
      <c r="G36" s="23">
        <v>1865000</v>
      </c>
      <c r="H36" s="22">
        <f>H35*1.022</f>
        <v>15515812.252403589</v>
      </c>
      <c r="I36" s="23">
        <f t="shared" si="2"/>
        <v>95025755.688156754</v>
      </c>
      <c r="J36" s="3"/>
      <c r="K36" s="71">
        <f t="shared" si="0"/>
        <v>146803611.01439071</v>
      </c>
      <c r="L36" s="23"/>
      <c r="M36" s="71">
        <f t="shared" si="1"/>
        <v>146803611.01439071</v>
      </c>
      <c r="O36" s="7"/>
      <c r="Q36" s="7"/>
    </row>
    <row r="37" spans="1:17" x14ac:dyDescent="0.25">
      <c r="A37" s="42" t="s">
        <v>46</v>
      </c>
      <c r="B37" s="22">
        <f>B36*1.0263</f>
        <v>2427185.8226602888</v>
      </c>
      <c r="C37" s="22">
        <f t="shared" si="3"/>
        <v>10156395.385853834</v>
      </c>
      <c r="D37" s="22">
        <f t="shared" si="3"/>
        <v>17303082.367097236</v>
      </c>
      <c r="E37" s="23"/>
      <c r="F37" s="22">
        <f>F36*1.022</f>
        <v>5277283.8885378484</v>
      </c>
      <c r="G37" s="23">
        <v>1865000</v>
      </c>
      <c r="H37" s="22">
        <f>H36*1.022</f>
        <v>15857160.121956468</v>
      </c>
      <c r="I37" s="23">
        <f t="shared" si="2"/>
        <v>98161605.625865921</v>
      </c>
      <c r="J37" s="3"/>
      <c r="K37" s="71">
        <f t="shared" si="0"/>
        <v>151047713.21197158</v>
      </c>
      <c r="L37" s="23"/>
      <c r="M37" s="71">
        <f t="shared" si="1"/>
        <v>151047713.21197158</v>
      </c>
      <c r="O37" s="7"/>
      <c r="Q37" s="7"/>
    </row>
    <row r="38" spans="1:17" x14ac:dyDescent="0.25">
      <c r="A38" s="4" t="s">
        <v>73</v>
      </c>
      <c r="C38" s="2"/>
      <c r="D38" s="2"/>
      <c r="E38" s="2"/>
      <c r="F38" s="2"/>
      <c r="G38" s="2"/>
      <c r="H38" s="2"/>
      <c r="I38" s="2"/>
      <c r="J38" s="2"/>
      <c r="K38" s="2"/>
      <c r="L38" s="2"/>
      <c r="M38" s="2"/>
      <c r="O38" s="2"/>
      <c r="Q38" s="2"/>
    </row>
    <row r="39" spans="1:17" x14ac:dyDescent="0.25">
      <c r="A39" s="4"/>
      <c r="C39" s="2"/>
      <c r="D39" s="2"/>
      <c r="E39" s="2"/>
      <c r="F39" s="2"/>
      <c r="G39" s="2"/>
      <c r="H39" s="2"/>
      <c r="I39" s="2"/>
      <c r="J39" s="2"/>
      <c r="K39" s="2"/>
      <c r="L39" s="2"/>
      <c r="M39" s="2"/>
      <c r="O39" s="2"/>
      <c r="Q39" s="2"/>
    </row>
    <row r="40" spans="1:17" ht="45" x14ac:dyDescent="0.25">
      <c r="A40" s="53" t="s">
        <v>49</v>
      </c>
      <c r="B40" s="64"/>
      <c r="C40" s="64"/>
      <c r="D40" s="64"/>
      <c r="E40" s="64"/>
      <c r="F40" s="64"/>
      <c r="G40" s="64"/>
      <c r="H40" s="64"/>
      <c r="I40" s="64"/>
      <c r="J40" s="2"/>
      <c r="K40" s="2"/>
      <c r="L40" s="2"/>
      <c r="M40" s="2"/>
      <c r="O40" s="2"/>
      <c r="Q40" s="2"/>
    </row>
    <row r="41" spans="1:17" x14ac:dyDescent="0.25">
      <c r="A41" s="15" t="s">
        <v>50</v>
      </c>
      <c r="B41" s="2">
        <f t="shared" ref="B41:H41" si="4">SUM(B16:B27)</f>
        <v>19555744.000000004</v>
      </c>
      <c r="C41" s="2">
        <f t="shared" si="4"/>
        <v>87228154.54571797</v>
      </c>
      <c r="D41" s="2">
        <f t="shared" si="4"/>
        <v>148607442.45312375</v>
      </c>
      <c r="E41" s="2">
        <f t="shared" si="4"/>
        <v>111078539.69587615</v>
      </c>
      <c r="F41" s="2">
        <f t="shared" si="4"/>
        <v>45323928.138143063</v>
      </c>
      <c r="G41" s="2">
        <f t="shared" si="4"/>
        <v>22380000</v>
      </c>
      <c r="H41" s="2">
        <f t="shared" si="4"/>
        <v>136189145.9740499</v>
      </c>
      <c r="I41" s="2"/>
      <c r="J41" s="2"/>
      <c r="K41" s="2">
        <f>SUM(K16:K27)</f>
        <v>1292183647.1290064</v>
      </c>
      <c r="L41" s="2">
        <f>SUM(L16:L27)</f>
        <v>0</v>
      </c>
      <c r="M41" s="2">
        <f>SUM(M16:M27)</f>
        <v>1292183647.1290064</v>
      </c>
      <c r="O41" s="2"/>
      <c r="Q41" s="2"/>
    </row>
    <row r="42" spans="1:17" ht="15.75" thickBot="1" x14ac:dyDescent="0.3">
      <c r="A42" s="65" t="s">
        <v>51</v>
      </c>
      <c r="B42" s="66">
        <f t="shared" ref="B42:H42" si="5">SUM(B28:B37)</f>
        <v>21655844.81202488</v>
      </c>
      <c r="C42" s="66">
        <f t="shared" si="5"/>
        <v>92269592.178573549</v>
      </c>
      <c r="D42" s="66">
        <f t="shared" si="5"/>
        <v>157196356.85590327</v>
      </c>
      <c r="E42" s="66">
        <f t="shared" si="5"/>
        <v>67278036.130404517</v>
      </c>
      <c r="F42" s="66">
        <f t="shared" si="5"/>
        <v>47943469.479748718</v>
      </c>
      <c r="G42" s="66">
        <f t="shared" si="5"/>
        <v>18650000</v>
      </c>
      <c r="H42" s="66">
        <f t="shared" si="5"/>
        <v>144060332.62560499</v>
      </c>
      <c r="I42" s="66"/>
      <c r="J42" s="66"/>
      <c r="K42" s="66">
        <f>SUM(K28:K37)</f>
        <v>1400930744.3819716</v>
      </c>
      <c r="L42" s="66">
        <f>SUM(L28:L37)</f>
        <v>0</v>
      </c>
      <c r="M42" s="66">
        <f>SUM(M28:M37)</f>
        <v>1400930744.3819716</v>
      </c>
      <c r="O42" s="2"/>
      <c r="Q42" s="2"/>
    </row>
    <row r="43" spans="1:17" x14ac:dyDescent="0.25">
      <c r="A43" s="15" t="s">
        <v>52</v>
      </c>
      <c r="B43" s="2">
        <f>B41+B42</f>
        <v>41211588.812024884</v>
      </c>
      <c r="C43" s="2">
        <f t="shared" ref="C43:M43" si="6">C41+C42</f>
        <v>179497746.7242915</v>
      </c>
      <c r="D43" s="2">
        <f t="shared" si="6"/>
        <v>305803799.30902702</v>
      </c>
      <c r="E43" s="2">
        <f t="shared" si="6"/>
        <v>178356575.82628065</v>
      </c>
      <c r="F43" s="2">
        <f>F41+F42</f>
        <v>93267397.617891788</v>
      </c>
      <c r="G43" s="2">
        <f t="shared" ref="G43" si="7">G41+G42</f>
        <v>41030000</v>
      </c>
      <c r="H43" s="2">
        <f t="shared" si="6"/>
        <v>280249478.59965491</v>
      </c>
      <c r="I43" s="2"/>
      <c r="J43" s="2"/>
      <c r="K43" s="2">
        <f>K41+K42</f>
        <v>2693114391.5109777</v>
      </c>
      <c r="L43" s="2">
        <f>L41+L42</f>
        <v>0</v>
      </c>
      <c r="M43" s="2">
        <f t="shared" si="6"/>
        <v>2693114391.5109777</v>
      </c>
      <c r="O43" s="2"/>
      <c r="Q43" s="2"/>
    </row>
    <row r="44" spans="1:17" x14ac:dyDescent="0.25">
      <c r="B44" s="2"/>
      <c r="C44" s="2"/>
      <c r="D44" s="2"/>
      <c r="E44" s="2"/>
      <c r="F44" s="2"/>
      <c r="G44" s="2"/>
      <c r="H44" s="2"/>
      <c r="I44" s="2"/>
      <c r="J44" s="2"/>
      <c r="K44" s="2"/>
      <c r="L44" s="2"/>
      <c r="M44" s="2"/>
      <c r="N44" s="2"/>
      <c r="O44" s="2"/>
      <c r="Q44" s="2"/>
    </row>
    <row r="45" spans="1:17" x14ac:dyDescent="0.25">
      <c r="A45" s="4" t="s">
        <v>53</v>
      </c>
      <c r="B45" s="2"/>
      <c r="C45" s="2"/>
      <c r="D45" s="2"/>
      <c r="E45" s="2"/>
      <c r="F45" s="2"/>
      <c r="G45" s="2"/>
      <c r="H45" s="2"/>
      <c r="I45" s="2"/>
      <c r="J45" s="2"/>
      <c r="K45" s="2"/>
      <c r="L45" s="2"/>
      <c r="M45" s="2"/>
      <c r="N45" s="2"/>
      <c r="O45" s="2"/>
      <c r="Q45" s="2"/>
    </row>
    <row r="46" spans="1:17" x14ac:dyDescent="0.25">
      <c r="A46" s="8" t="s">
        <v>55</v>
      </c>
      <c r="B46" s="2"/>
      <c r="C46" s="2"/>
      <c r="D46" s="2"/>
      <c r="E46" s="2"/>
      <c r="F46" s="2"/>
      <c r="G46" s="2"/>
      <c r="H46" s="2"/>
      <c r="I46" s="2"/>
      <c r="J46" s="2"/>
      <c r="K46" s="2"/>
      <c r="L46" s="2"/>
      <c r="M46" s="2"/>
      <c r="N46" s="2"/>
      <c r="O46" s="2"/>
      <c r="Q46" s="2"/>
    </row>
    <row r="47" spans="1:17" x14ac:dyDescent="0.25">
      <c r="A47" t="s">
        <v>85</v>
      </c>
      <c r="B47" s="2"/>
      <c r="C47" s="2"/>
      <c r="D47" s="2"/>
      <c r="E47" s="2"/>
      <c r="F47" s="2"/>
      <c r="G47" s="2"/>
      <c r="H47" s="2"/>
      <c r="I47" s="2"/>
      <c r="J47" s="2"/>
      <c r="K47" s="2"/>
      <c r="L47" s="2"/>
      <c r="M47" s="2"/>
      <c r="N47" s="2"/>
      <c r="O47" s="2"/>
      <c r="Q47" s="2"/>
    </row>
    <row r="48" spans="1:17" x14ac:dyDescent="0.25">
      <c r="A48" t="s">
        <v>86</v>
      </c>
    </row>
  </sheetData>
  <mergeCells count="4">
    <mergeCell ref="B2:H2"/>
    <mergeCell ref="F3:G3"/>
    <mergeCell ref="D3:E3"/>
    <mergeCell ref="A1:M1"/>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74C96-7733-477E-8A2C-D4991A06E2E0}">
  <dimension ref="A1:L46"/>
  <sheetViews>
    <sheetView tabSelected="1" zoomScale="130" zoomScaleNormal="130" workbookViewId="0">
      <selection activeCell="F12" sqref="F12"/>
    </sheetView>
  </sheetViews>
  <sheetFormatPr defaultRowHeight="15" x14ac:dyDescent="0.25"/>
  <cols>
    <col min="1" max="1" width="20.625" style="5" customWidth="1"/>
    <col min="2" max="7" width="14" customWidth="1"/>
    <col min="8" max="8" width="5.625" customWidth="1"/>
    <col min="9" max="9" width="15" customWidth="1"/>
    <col min="10" max="10" width="13" customWidth="1"/>
    <col min="11" max="11" width="15.625" customWidth="1"/>
  </cols>
  <sheetData>
    <row r="1" spans="1:12" s="4" customFormat="1" ht="15.75" x14ac:dyDescent="0.25">
      <c r="A1" s="87" t="s">
        <v>87</v>
      </c>
      <c r="B1" s="87"/>
      <c r="C1" s="87"/>
      <c r="D1" s="87"/>
      <c r="E1" s="87"/>
      <c r="F1" s="87"/>
      <c r="G1" s="87"/>
      <c r="H1" s="87"/>
      <c r="I1" s="87"/>
      <c r="J1" s="87"/>
      <c r="K1" s="87"/>
    </row>
    <row r="2" spans="1:12" x14ac:dyDescent="0.25">
      <c r="A2" s="26" t="s">
        <v>1</v>
      </c>
      <c r="B2" s="90" t="s">
        <v>57</v>
      </c>
      <c r="C2" s="90"/>
      <c r="D2" s="90"/>
      <c r="E2" s="90"/>
      <c r="F2" s="88" t="s">
        <v>2</v>
      </c>
      <c r="G2" s="88"/>
      <c r="J2" s="6"/>
      <c r="K2" s="5"/>
    </row>
    <row r="3" spans="1:12" ht="45" x14ac:dyDescent="0.25">
      <c r="A3" s="35" t="s">
        <v>3</v>
      </c>
      <c r="B3" s="27" t="s">
        <v>77</v>
      </c>
      <c r="C3" s="28" t="s">
        <v>58</v>
      </c>
      <c r="D3" s="29" t="s">
        <v>59</v>
      </c>
      <c r="E3" s="27" t="s">
        <v>60</v>
      </c>
      <c r="F3" s="89" t="s">
        <v>4</v>
      </c>
      <c r="G3" s="89"/>
      <c r="H3" s="30"/>
      <c r="I3" s="27"/>
      <c r="J3" s="31"/>
      <c r="K3" s="27"/>
    </row>
    <row r="4" spans="1:12" ht="45" x14ac:dyDescent="0.25">
      <c r="A4" s="35" t="s">
        <v>5</v>
      </c>
      <c r="B4" s="28" t="s">
        <v>83</v>
      </c>
      <c r="C4" s="28" t="s">
        <v>88</v>
      </c>
      <c r="D4" s="28" t="s">
        <v>63</v>
      </c>
      <c r="E4" s="32" t="s">
        <v>64</v>
      </c>
      <c r="F4" s="28" t="s">
        <v>65</v>
      </c>
      <c r="G4" s="32" t="s">
        <v>89</v>
      </c>
      <c r="H4" s="28"/>
      <c r="I4" s="33" t="s">
        <v>9</v>
      </c>
      <c r="J4" s="34" t="s">
        <v>10</v>
      </c>
      <c r="K4" s="35" t="s">
        <v>11</v>
      </c>
      <c r="L4" s="1"/>
    </row>
    <row r="5" spans="1:12" ht="15.75" thickBot="1" x14ac:dyDescent="0.3">
      <c r="A5" s="41" t="s">
        <v>12</v>
      </c>
      <c r="B5" s="36">
        <v>2.1999999999999999E-2</v>
      </c>
      <c r="C5" s="37">
        <v>0</v>
      </c>
      <c r="D5" s="37">
        <v>0</v>
      </c>
      <c r="E5" s="38" t="s">
        <v>14</v>
      </c>
      <c r="F5" s="38">
        <v>2.1999999999999999E-2</v>
      </c>
      <c r="G5" s="36">
        <v>2.1999999999999999E-2</v>
      </c>
      <c r="H5" s="40"/>
      <c r="I5" s="39"/>
      <c r="J5" s="38">
        <v>3.3000000000000002E-2</v>
      </c>
      <c r="K5" s="40" t="s">
        <v>14</v>
      </c>
      <c r="L5" s="1"/>
    </row>
    <row r="6" spans="1:12" x14ac:dyDescent="0.25">
      <c r="A6" s="57" t="s">
        <v>15</v>
      </c>
      <c r="B6" s="58"/>
      <c r="C6" s="59"/>
      <c r="D6" s="59"/>
      <c r="E6" s="59"/>
      <c r="F6" s="59"/>
      <c r="G6" s="58"/>
      <c r="H6" s="67"/>
      <c r="I6" s="59"/>
      <c r="J6" s="58">
        <f>347697.95+428666</f>
        <v>776363.95</v>
      </c>
      <c r="K6" s="59"/>
    </row>
    <row r="7" spans="1:12" x14ac:dyDescent="0.25">
      <c r="A7" s="57" t="s">
        <v>16</v>
      </c>
      <c r="B7" s="58"/>
      <c r="C7" s="59"/>
      <c r="D7" s="59"/>
      <c r="E7" s="59"/>
      <c r="F7" s="59"/>
      <c r="G7" s="58"/>
      <c r="H7" s="67"/>
      <c r="I7" s="59"/>
      <c r="J7" s="58">
        <f>437262+529127</f>
        <v>966389</v>
      </c>
      <c r="K7" s="59"/>
    </row>
    <row r="8" spans="1:12" x14ac:dyDescent="0.25">
      <c r="A8" s="57" t="s">
        <v>17</v>
      </c>
      <c r="B8" s="58"/>
      <c r="C8" s="59"/>
      <c r="D8" s="59"/>
      <c r="E8" s="59"/>
      <c r="F8" s="59"/>
      <c r="G8" s="58"/>
      <c r="H8" s="67"/>
      <c r="I8" s="59"/>
      <c r="J8" s="58">
        <f>454806+529127</f>
        <v>983933</v>
      </c>
      <c r="K8" s="59"/>
    </row>
    <row r="9" spans="1:12" x14ac:dyDescent="0.25">
      <c r="A9" s="57" t="s">
        <v>18</v>
      </c>
      <c r="B9" s="58"/>
      <c r="C9" s="59"/>
      <c r="D9" s="59"/>
      <c r="E9" s="59"/>
      <c r="F9" s="59"/>
      <c r="G9" s="58"/>
      <c r="H9" s="67"/>
      <c r="I9" s="59"/>
      <c r="J9" s="58">
        <f>1.033*AVERAGE(J6:J8)</f>
        <v>938888.86211666674</v>
      </c>
      <c r="K9" s="59"/>
    </row>
    <row r="10" spans="1:12" x14ac:dyDescent="0.25">
      <c r="A10" s="57" t="s">
        <v>19</v>
      </c>
      <c r="B10" s="58">
        <v>959633</v>
      </c>
      <c r="C10" s="59">
        <v>30398.94</v>
      </c>
      <c r="D10" s="59">
        <v>100000</v>
      </c>
      <c r="E10" s="59"/>
      <c r="F10" s="59">
        <v>1234627</v>
      </c>
      <c r="G10" s="58">
        <v>18921</v>
      </c>
      <c r="H10" s="67"/>
      <c r="I10" s="59">
        <f t="shared" ref="I10:I37" si="0">SUM(B10:G10)</f>
        <v>2343579.94</v>
      </c>
      <c r="J10" s="58">
        <f>1.033*J9</f>
        <v>969872.19456651667</v>
      </c>
      <c r="K10" s="59">
        <f t="shared" ref="K10:K37" si="1">I10-J10</f>
        <v>1373707.7454334833</v>
      </c>
    </row>
    <row r="11" spans="1:12" x14ac:dyDescent="0.25">
      <c r="A11" s="57" t="s">
        <v>20</v>
      </c>
      <c r="B11" s="58">
        <f>B10*1.022</f>
        <v>980744.92599999998</v>
      </c>
      <c r="C11" s="59">
        <v>30398.94</v>
      </c>
      <c r="D11" s="59">
        <v>100000</v>
      </c>
      <c r="E11" s="59"/>
      <c r="F11" s="59">
        <f>F10*1.022</f>
        <v>1261788.794</v>
      </c>
      <c r="G11" s="58">
        <f>G10*1.022</f>
        <v>19337.261999999999</v>
      </c>
      <c r="H11" s="67"/>
      <c r="I11" s="59">
        <f t="shared" si="0"/>
        <v>2392269.9220000003</v>
      </c>
      <c r="J11" s="58">
        <f t="shared" ref="J11:J32" si="2">1.033*J10</f>
        <v>1001877.9769872116</v>
      </c>
      <c r="K11" s="59">
        <f t="shared" si="1"/>
        <v>1390391.9450127888</v>
      </c>
    </row>
    <row r="12" spans="1:12" x14ac:dyDescent="0.25">
      <c r="A12" s="57" t="s">
        <v>21</v>
      </c>
      <c r="B12" s="58">
        <f t="shared" ref="B12:B32" si="3">B11*1.022</f>
        <v>1002321.3143720001</v>
      </c>
      <c r="C12" s="59">
        <v>30398.94</v>
      </c>
      <c r="D12" s="59">
        <v>100000</v>
      </c>
      <c r="E12" s="59"/>
      <c r="F12" s="59">
        <v>1278430</v>
      </c>
      <c r="G12" s="58">
        <f t="shared" ref="G12:G37" si="4">G11*1.022</f>
        <v>19762.681764000001</v>
      </c>
      <c r="H12" s="67"/>
      <c r="I12" s="59">
        <f t="shared" si="0"/>
        <v>2430912.9361359999</v>
      </c>
      <c r="J12" s="58">
        <f t="shared" si="2"/>
        <v>1034939.9502277895</v>
      </c>
      <c r="K12" s="59">
        <f t="shared" si="1"/>
        <v>1395972.9859082103</v>
      </c>
    </row>
    <row r="13" spans="1:12" x14ac:dyDescent="0.25">
      <c r="A13" s="57" t="s">
        <v>22</v>
      </c>
      <c r="B13" s="58">
        <f t="shared" si="3"/>
        <v>1024372.3832881841</v>
      </c>
      <c r="C13" s="59">
        <v>30398.94</v>
      </c>
      <c r="D13" s="59">
        <v>100000</v>
      </c>
      <c r="E13" s="59"/>
      <c r="F13" s="59">
        <v>1278400</v>
      </c>
      <c r="G13" s="58">
        <f t="shared" si="4"/>
        <v>20197.460762808001</v>
      </c>
      <c r="H13" s="67"/>
      <c r="I13" s="59">
        <f t="shared" si="0"/>
        <v>2453368.7840509922</v>
      </c>
      <c r="J13" s="58">
        <f t="shared" si="2"/>
        <v>1069092.9685853065</v>
      </c>
      <c r="K13" s="59">
        <f t="shared" si="1"/>
        <v>1384275.8154656857</v>
      </c>
    </row>
    <row r="14" spans="1:12" x14ac:dyDescent="0.25">
      <c r="A14" s="57" t="s">
        <v>23</v>
      </c>
      <c r="B14" s="58">
        <f t="shared" si="3"/>
        <v>1046908.5757205242</v>
      </c>
      <c r="C14" s="59">
        <v>30398.94</v>
      </c>
      <c r="D14" s="59">
        <v>100000</v>
      </c>
      <c r="E14" s="59">
        <f>1181*41</f>
        <v>48421</v>
      </c>
      <c r="F14" s="59">
        <v>1283428</v>
      </c>
      <c r="G14" s="58">
        <v>22849</v>
      </c>
      <c r="H14" s="67"/>
      <c r="I14" s="59">
        <f t="shared" si="0"/>
        <v>2532005.5157205239</v>
      </c>
      <c r="J14" s="58">
        <f t="shared" si="2"/>
        <v>1104373.0365486215</v>
      </c>
      <c r="K14" s="59">
        <f t="shared" si="1"/>
        <v>1427632.4791719024</v>
      </c>
    </row>
    <row r="15" spans="1:12" x14ac:dyDescent="0.25">
      <c r="A15" s="57" t="s">
        <v>24</v>
      </c>
      <c r="B15" s="58">
        <f t="shared" si="3"/>
        <v>1069940.5643863757</v>
      </c>
      <c r="C15" s="59">
        <v>30398.94</v>
      </c>
      <c r="D15" s="59">
        <v>100000</v>
      </c>
      <c r="E15" s="59">
        <v>0</v>
      </c>
      <c r="F15" s="59">
        <v>1266117</v>
      </c>
      <c r="G15" s="58">
        <f t="shared" si="4"/>
        <v>23351.678</v>
      </c>
      <c r="H15" s="67"/>
      <c r="I15" s="59">
        <f t="shared" si="0"/>
        <v>2489808.1823863755</v>
      </c>
      <c r="J15" s="58">
        <f t="shared" si="2"/>
        <v>1140817.3467547258</v>
      </c>
      <c r="K15" s="59">
        <f t="shared" si="1"/>
        <v>1348990.8356316497</v>
      </c>
    </row>
    <row r="16" spans="1:12" x14ac:dyDescent="0.25">
      <c r="A16" s="15" t="s">
        <v>25</v>
      </c>
      <c r="B16" s="2">
        <f t="shared" si="3"/>
        <v>1093479.256802876</v>
      </c>
      <c r="C16" s="3">
        <v>30398.94</v>
      </c>
      <c r="D16" s="3">
        <v>100000</v>
      </c>
      <c r="E16" s="3">
        <v>0</v>
      </c>
      <c r="F16" s="3">
        <v>1268582</v>
      </c>
      <c r="G16" s="2">
        <f t="shared" si="4"/>
        <v>23865.414916000002</v>
      </c>
      <c r="H16" s="16"/>
      <c r="I16" s="3">
        <f t="shared" si="0"/>
        <v>2516325.6117188758</v>
      </c>
      <c r="J16" s="2">
        <f t="shared" si="2"/>
        <v>1178464.3191976317</v>
      </c>
      <c r="K16" s="3">
        <f t="shared" si="1"/>
        <v>1337861.2925212441</v>
      </c>
    </row>
    <row r="17" spans="1:11" x14ac:dyDescent="0.25">
      <c r="A17" s="15" t="s">
        <v>26</v>
      </c>
      <c r="B17" s="2">
        <f t="shared" si="3"/>
        <v>1117535.8004525392</v>
      </c>
      <c r="C17" s="3">
        <v>30398.94</v>
      </c>
      <c r="D17" s="3">
        <v>100000</v>
      </c>
      <c r="E17" s="3">
        <v>0</v>
      </c>
      <c r="F17" s="3">
        <v>1323808</v>
      </c>
      <c r="G17" s="2">
        <f t="shared" si="4"/>
        <v>24390.454044152</v>
      </c>
      <c r="H17" s="16"/>
      <c r="I17" s="3">
        <f t="shared" si="0"/>
        <v>2596133.1944966912</v>
      </c>
      <c r="J17" s="2">
        <f t="shared" si="2"/>
        <v>1217353.6417311535</v>
      </c>
      <c r="K17" s="3">
        <f t="shared" si="1"/>
        <v>1378779.5527655378</v>
      </c>
    </row>
    <row r="18" spans="1:11" x14ac:dyDescent="0.25">
      <c r="A18" s="15" t="s">
        <v>27</v>
      </c>
      <c r="B18" s="2">
        <f t="shared" si="3"/>
        <v>1142121.5880624952</v>
      </c>
      <c r="C18" s="3">
        <v>30398.94</v>
      </c>
      <c r="D18" s="3">
        <v>100000</v>
      </c>
      <c r="E18" s="3">
        <v>0</v>
      </c>
      <c r="F18" s="3">
        <v>1335921</v>
      </c>
      <c r="G18" s="2">
        <f t="shared" si="4"/>
        <v>24927.044033123344</v>
      </c>
      <c r="H18" s="16"/>
      <c r="I18" s="3">
        <f t="shared" si="0"/>
        <v>2633368.5720956186</v>
      </c>
      <c r="J18" s="2">
        <f t="shared" si="2"/>
        <v>1257526.3119082814</v>
      </c>
      <c r="K18" s="3">
        <f t="shared" si="1"/>
        <v>1375842.2601873372</v>
      </c>
    </row>
    <row r="19" spans="1:11" x14ac:dyDescent="0.25">
      <c r="A19" s="15" t="s">
        <v>28</v>
      </c>
      <c r="B19" s="2">
        <f t="shared" si="3"/>
        <v>1167248.2629998701</v>
      </c>
      <c r="C19" s="3">
        <v>30398.94</v>
      </c>
      <c r="D19" s="3">
        <v>100000</v>
      </c>
      <c r="E19" s="3">
        <f>1181*41</f>
        <v>48421</v>
      </c>
      <c r="F19" s="3">
        <v>1351179</v>
      </c>
      <c r="G19" s="2">
        <f t="shared" si="4"/>
        <v>25475.439001852057</v>
      </c>
      <c r="H19" s="16"/>
      <c r="I19" s="3">
        <f t="shared" si="0"/>
        <v>2722722.6420017225</v>
      </c>
      <c r="J19" s="2">
        <f t="shared" si="2"/>
        <v>1299024.6802012546</v>
      </c>
      <c r="K19" s="3">
        <f t="shared" si="1"/>
        <v>1423697.9618004679</v>
      </c>
    </row>
    <row r="20" spans="1:11" x14ac:dyDescent="0.25">
      <c r="A20" s="15" t="s">
        <v>29</v>
      </c>
      <c r="B20" s="2">
        <f t="shared" si="3"/>
        <v>1192927.7247858674</v>
      </c>
      <c r="C20" s="3">
        <v>30398.94</v>
      </c>
      <c r="D20" s="3">
        <v>100000</v>
      </c>
      <c r="E20" s="3">
        <v>0</v>
      </c>
      <c r="F20" s="3">
        <f t="shared" ref="F20:F32" si="5">F19*1.022</f>
        <v>1380904.9380000001</v>
      </c>
      <c r="G20" s="2">
        <f t="shared" si="4"/>
        <v>26035.898659892802</v>
      </c>
      <c r="H20" s="16"/>
      <c r="I20" s="3">
        <f t="shared" si="0"/>
        <v>2730267.5014457605</v>
      </c>
      <c r="J20" s="2">
        <f t="shared" si="2"/>
        <v>1341892.4946478959</v>
      </c>
      <c r="K20" s="3">
        <f t="shared" si="1"/>
        <v>1388375.0067978646</v>
      </c>
    </row>
    <row r="21" spans="1:11" x14ac:dyDescent="0.25">
      <c r="A21" s="15" t="s">
        <v>30</v>
      </c>
      <c r="B21" s="2">
        <f t="shared" si="3"/>
        <v>1219172.1347311565</v>
      </c>
      <c r="C21" s="3">
        <v>30398.94</v>
      </c>
      <c r="D21" s="3">
        <v>100000</v>
      </c>
      <c r="E21" s="3">
        <v>0</v>
      </c>
      <c r="F21" s="3">
        <f t="shared" si="5"/>
        <v>1411284.8466360001</v>
      </c>
      <c r="G21" s="2">
        <f t="shared" si="4"/>
        <v>26608.688430410446</v>
      </c>
      <c r="H21" s="16"/>
      <c r="I21" s="3">
        <f t="shared" si="0"/>
        <v>2787464.6097975667</v>
      </c>
      <c r="J21" s="2">
        <f t="shared" si="2"/>
        <v>1386174.9469712763</v>
      </c>
      <c r="K21" s="3">
        <f t="shared" si="1"/>
        <v>1401289.6628262904</v>
      </c>
    </row>
    <row r="22" spans="1:11" x14ac:dyDescent="0.25">
      <c r="A22" s="15" t="s">
        <v>31</v>
      </c>
      <c r="B22" s="2">
        <f t="shared" si="3"/>
        <v>1245993.9216952419</v>
      </c>
      <c r="C22" s="3">
        <v>30398.94</v>
      </c>
      <c r="D22" s="3">
        <v>100000</v>
      </c>
      <c r="E22" s="3">
        <v>0</v>
      </c>
      <c r="F22" s="3">
        <f t="shared" si="5"/>
        <v>1442333.1132619921</v>
      </c>
      <c r="G22" s="2">
        <f t="shared" si="4"/>
        <v>27194.079575879477</v>
      </c>
      <c r="H22" s="16"/>
      <c r="I22" s="3">
        <f t="shared" si="0"/>
        <v>2845920.0545331137</v>
      </c>
      <c r="J22" s="2">
        <f t="shared" si="2"/>
        <v>1431918.7202213283</v>
      </c>
      <c r="K22" s="3">
        <f t="shared" si="1"/>
        <v>1414001.3343117854</v>
      </c>
    </row>
    <row r="23" spans="1:11" x14ac:dyDescent="0.25">
      <c r="A23" s="15" t="s">
        <v>32</v>
      </c>
      <c r="B23" s="2">
        <f t="shared" si="3"/>
        <v>1273405.7879725373</v>
      </c>
      <c r="C23" s="3">
        <v>30398.94</v>
      </c>
      <c r="D23" s="3">
        <v>100000</v>
      </c>
      <c r="E23" s="3">
        <v>0</v>
      </c>
      <c r="F23" s="3">
        <f t="shared" si="5"/>
        <v>1474064.441753756</v>
      </c>
      <c r="G23" s="2">
        <f t="shared" si="4"/>
        <v>27792.349326548825</v>
      </c>
      <c r="H23" s="16"/>
      <c r="I23" s="3">
        <f t="shared" si="0"/>
        <v>2905661.5190528422</v>
      </c>
      <c r="J23" s="2">
        <f t="shared" si="2"/>
        <v>1479172.037988632</v>
      </c>
      <c r="K23" s="3">
        <f t="shared" si="1"/>
        <v>1426489.4810642102</v>
      </c>
    </row>
    <row r="24" spans="1:11" x14ac:dyDescent="0.25">
      <c r="A24" s="15" t="s">
        <v>33</v>
      </c>
      <c r="B24" s="2">
        <f t="shared" si="3"/>
        <v>1301420.7153079333</v>
      </c>
      <c r="C24" s="3">
        <v>30398.94</v>
      </c>
      <c r="D24" s="3">
        <v>100000</v>
      </c>
      <c r="E24" s="3">
        <f>1181*41</f>
        <v>48421</v>
      </c>
      <c r="F24" s="3">
        <f t="shared" si="5"/>
        <v>1506493.8594723386</v>
      </c>
      <c r="G24" s="2">
        <f t="shared" si="4"/>
        <v>28403.781011732899</v>
      </c>
      <c r="H24" s="16"/>
      <c r="I24" s="3">
        <f t="shared" si="0"/>
        <v>3015138.2957920046</v>
      </c>
      <c r="J24" s="2">
        <f t="shared" si="2"/>
        <v>1527984.7152422566</v>
      </c>
      <c r="K24" s="3">
        <f t="shared" si="1"/>
        <v>1487153.5805497479</v>
      </c>
    </row>
    <row r="25" spans="1:11" x14ac:dyDescent="0.25">
      <c r="A25" s="15" t="s">
        <v>34</v>
      </c>
      <c r="B25" s="2">
        <f t="shared" si="3"/>
        <v>1330051.9710447078</v>
      </c>
      <c r="C25" s="3">
        <v>30398.94</v>
      </c>
      <c r="D25" s="3">
        <v>100000</v>
      </c>
      <c r="E25" s="3">
        <v>0</v>
      </c>
      <c r="F25" s="3">
        <f t="shared" si="5"/>
        <v>1539636.72438073</v>
      </c>
      <c r="G25" s="2">
        <f t="shared" si="4"/>
        <v>29028.664193991022</v>
      </c>
      <c r="H25" s="16"/>
      <c r="I25" s="3">
        <f t="shared" si="0"/>
        <v>3029116.2996194288</v>
      </c>
      <c r="J25" s="2">
        <f t="shared" si="2"/>
        <v>1578408.2108452511</v>
      </c>
      <c r="K25" s="3">
        <f t="shared" si="1"/>
        <v>1450708.0887741777</v>
      </c>
    </row>
    <row r="26" spans="1:11" x14ac:dyDescent="0.25">
      <c r="A26" s="15" t="s">
        <v>35</v>
      </c>
      <c r="B26" s="2">
        <f t="shared" si="3"/>
        <v>1359313.1144076914</v>
      </c>
      <c r="C26" s="3">
        <v>30398.94</v>
      </c>
      <c r="D26" s="3">
        <v>100000</v>
      </c>
      <c r="E26" s="3">
        <v>0</v>
      </c>
      <c r="F26" s="3">
        <f t="shared" si="5"/>
        <v>1573508.7323171061</v>
      </c>
      <c r="G26" s="2">
        <f t="shared" si="4"/>
        <v>29667.294806258826</v>
      </c>
      <c r="H26" s="16"/>
      <c r="I26" s="3">
        <f t="shared" si="0"/>
        <v>3092888.0815310562</v>
      </c>
      <c r="J26" s="2">
        <f t="shared" si="2"/>
        <v>1630495.6818031443</v>
      </c>
      <c r="K26" s="3">
        <f t="shared" si="1"/>
        <v>1462392.3997279119</v>
      </c>
    </row>
    <row r="27" spans="1:11" x14ac:dyDescent="0.25">
      <c r="A27" s="15" t="s">
        <v>36</v>
      </c>
      <c r="B27" s="2">
        <f t="shared" si="3"/>
        <v>1389218.0029246607</v>
      </c>
      <c r="C27" s="3">
        <v>30398.94</v>
      </c>
      <c r="D27" s="3">
        <v>100000</v>
      </c>
      <c r="E27" s="3">
        <v>0</v>
      </c>
      <c r="F27" s="3">
        <f t="shared" si="5"/>
        <v>1608125.9244280825</v>
      </c>
      <c r="G27" s="2">
        <f t="shared" si="4"/>
        <v>30319.975291996521</v>
      </c>
      <c r="H27" s="16"/>
      <c r="I27" s="3">
        <f t="shared" si="0"/>
        <v>3158062.8426447399</v>
      </c>
      <c r="J27" s="2">
        <f t="shared" si="2"/>
        <v>1684302.0393026478</v>
      </c>
      <c r="K27" s="3">
        <f t="shared" si="1"/>
        <v>1473760.8033420921</v>
      </c>
    </row>
    <row r="28" spans="1:11" x14ac:dyDescent="0.25">
      <c r="A28" s="15" t="s">
        <v>37</v>
      </c>
      <c r="B28" s="2">
        <f t="shared" si="3"/>
        <v>1419780.7989890033</v>
      </c>
      <c r="C28" s="3">
        <v>30398.94</v>
      </c>
      <c r="D28" s="3">
        <v>100000</v>
      </c>
      <c r="E28" s="3">
        <v>0</v>
      </c>
      <c r="F28" s="3">
        <f t="shared" si="5"/>
        <v>1643504.6947655005</v>
      </c>
      <c r="G28" s="2">
        <f t="shared" si="4"/>
        <v>30987.014748420446</v>
      </c>
      <c r="H28" s="16"/>
      <c r="I28" s="3">
        <f t="shared" si="0"/>
        <v>3224671.4485029243</v>
      </c>
      <c r="J28" s="2">
        <f t="shared" si="2"/>
        <v>1739884.0065996351</v>
      </c>
      <c r="K28" s="3">
        <f t="shared" si="1"/>
        <v>1484787.4419032892</v>
      </c>
    </row>
    <row r="29" spans="1:11" x14ac:dyDescent="0.25">
      <c r="A29" s="15" t="s">
        <v>38</v>
      </c>
      <c r="B29" s="2">
        <f t="shared" si="3"/>
        <v>1451015.9765667615</v>
      </c>
      <c r="C29" s="3">
        <v>30398.94</v>
      </c>
      <c r="D29" s="3">
        <v>100000</v>
      </c>
      <c r="E29" s="3">
        <f>1181*41</f>
        <v>48421</v>
      </c>
      <c r="F29" s="3">
        <f t="shared" si="5"/>
        <v>1679661.7980503414</v>
      </c>
      <c r="G29" s="2">
        <f t="shared" si="4"/>
        <v>31668.729072885697</v>
      </c>
      <c r="H29" s="16"/>
      <c r="I29" s="3">
        <f t="shared" si="0"/>
        <v>3341166.4436899885</v>
      </c>
      <c r="J29" s="2">
        <f t="shared" si="2"/>
        <v>1797300.1788174228</v>
      </c>
      <c r="K29" s="3">
        <f t="shared" si="1"/>
        <v>1543866.2648725656</v>
      </c>
    </row>
    <row r="30" spans="1:11" x14ac:dyDescent="0.25">
      <c r="A30" s="15" t="s">
        <v>39</v>
      </c>
      <c r="B30" s="2">
        <f t="shared" si="3"/>
        <v>1482938.3280512302</v>
      </c>
      <c r="C30" s="3">
        <v>30398.94</v>
      </c>
      <c r="D30" s="3">
        <v>100000</v>
      </c>
      <c r="E30" s="3"/>
      <c r="F30" s="3">
        <f>F29*1.022</f>
        <v>1716614.3576074489</v>
      </c>
      <c r="G30" s="2">
        <f t="shared" si="4"/>
        <v>32365.441112489181</v>
      </c>
      <c r="H30" s="16"/>
      <c r="I30" s="3">
        <f t="shared" si="0"/>
        <v>3362317.0667711678</v>
      </c>
      <c r="J30" s="2">
        <f t="shared" si="2"/>
        <v>1856611.0847183976</v>
      </c>
      <c r="K30" s="3">
        <f t="shared" si="1"/>
        <v>1505705.9820527702</v>
      </c>
    </row>
    <row r="31" spans="1:11" x14ac:dyDescent="0.25">
      <c r="A31" s="15" t="s">
        <v>40</v>
      </c>
      <c r="B31" s="2">
        <f t="shared" si="3"/>
        <v>1515562.9712683572</v>
      </c>
      <c r="C31" s="3">
        <v>30398.94</v>
      </c>
      <c r="D31" s="3">
        <v>100000</v>
      </c>
      <c r="E31" s="3"/>
      <c r="F31" s="3">
        <f t="shared" si="5"/>
        <v>1754379.8734748128</v>
      </c>
      <c r="G31" s="2">
        <f t="shared" si="4"/>
        <v>33077.480816963944</v>
      </c>
      <c r="H31" s="16"/>
      <c r="I31" s="3">
        <f t="shared" si="0"/>
        <v>3433419.2655601343</v>
      </c>
      <c r="J31" s="2">
        <f t="shared" si="2"/>
        <v>1917879.2505141045</v>
      </c>
      <c r="K31" s="3">
        <f t="shared" si="1"/>
        <v>1515540.0150460298</v>
      </c>
    </row>
    <row r="32" spans="1:11" x14ac:dyDescent="0.25">
      <c r="A32" s="15" t="s">
        <v>41</v>
      </c>
      <c r="B32" s="2">
        <f t="shared" si="3"/>
        <v>1548905.3566362611</v>
      </c>
      <c r="C32" s="3">
        <v>30398.94</v>
      </c>
      <c r="D32" s="3">
        <v>100000</v>
      </c>
      <c r="E32" s="3"/>
      <c r="F32" s="3">
        <f t="shared" si="5"/>
        <v>1792976.2306912588</v>
      </c>
      <c r="G32" s="2">
        <f t="shared" si="4"/>
        <v>33805.185394937151</v>
      </c>
      <c r="H32" s="17"/>
      <c r="I32" s="3">
        <f t="shared" si="0"/>
        <v>3506085.712722457</v>
      </c>
      <c r="J32" s="2">
        <f t="shared" si="2"/>
        <v>1981169.2657810699</v>
      </c>
      <c r="K32" s="3">
        <f t="shared" si="1"/>
        <v>1524916.4469413871</v>
      </c>
    </row>
    <row r="33" spans="1:11" x14ac:dyDescent="0.25">
      <c r="A33" s="42" t="s">
        <v>42</v>
      </c>
      <c r="B33" s="22">
        <f>B32*1.022</f>
        <v>1582981.2744822588</v>
      </c>
      <c r="C33" s="23">
        <v>30398.94</v>
      </c>
      <c r="D33" s="23">
        <v>100000</v>
      </c>
      <c r="E33" s="23"/>
      <c r="F33" s="23">
        <f t="shared" ref="F33:F37" si="6">F32*1.022</f>
        <v>1832421.7077664665</v>
      </c>
      <c r="G33" s="22">
        <f t="shared" si="4"/>
        <v>34548.899473625766</v>
      </c>
      <c r="H33" s="17"/>
      <c r="I33" s="23">
        <f t="shared" si="0"/>
        <v>3580350.821722351</v>
      </c>
      <c r="J33" s="22">
        <f>1.033*J32</f>
        <v>2046547.851551845</v>
      </c>
      <c r="K33" s="23">
        <f t="shared" si="1"/>
        <v>1533802.970170506</v>
      </c>
    </row>
    <row r="34" spans="1:11" x14ac:dyDescent="0.25">
      <c r="A34" s="42" t="s">
        <v>43</v>
      </c>
      <c r="B34" s="22">
        <f t="shared" ref="B34:B37" si="7">B33*1.022</f>
        <v>1617806.8625208687</v>
      </c>
      <c r="C34" s="23">
        <v>30398.94</v>
      </c>
      <c r="D34" s="23">
        <v>100000</v>
      </c>
      <c r="E34" s="23"/>
      <c r="F34" s="23">
        <f t="shared" si="6"/>
        <v>1872734.9853373289</v>
      </c>
      <c r="G34" s="22">
        <f t="shared" si="4"/>
        <v>35308.975262045533</v>
      </c>
      <c r="H34" s="17"/>
      <c r="I34" s="23">
        <f t="shared" si="0"/>
        <v>3656249.7631202429</v>
      </c>
      <c r="J34" s="22">
        <f>1.033*J33</f>
        <v>2114083.9306530557</v>
      </c>
      <c r="K34" s="23">
        <f t="shared" si="1"/>
        <v>1542165.8324671872</v>
      </c>
    </row>
    <row r="35" spans="1:11" x14ac:dyDescent="0.25">
      <c r="A35" s="42" t="s">
        <v>44</v>
      </c>
      <c r="B35" s="22">
        <f t="shared" si="7"/>
        <v>1653398.6134963278</v>
      </c>
      <c r="C35" s="23">
        <v>30398.94</v>
      </c>
      <c r="D35" s="23">
        <v>100000</v>
      </c>
      <c r="E35" s="23"/>
      <c r="F35" s="23">
        <f t="shared" si="6"/>
        <v>1913935.1550147501</v>
      </c>
      <c r="G35" s="22">
        <f t="shared" si="4"/>
        <v>36085.772717810534</v>
      </c>
      <c r="H35" s="17"/>
      <c r="I35" s="23">
        <f t="shared" si="0"/>
        <v>3733818.4812288885</v>
      </c>
      <c r="J35" s="22">
        <f t="shared" ref="J35:J37" si="8">1.033*J34</f>
        <v>2183848.7003646065</v>
      </c>
      <c r="K35" s="23">
        <f t="shared" si="1"/>
        <v>1549969.780864282</v>
      </c>
    </row>
    <row r="36" spans="1:11" x14ac:dyDescent="0.25">
      <c r="A36" s="42" t="s">
        <v>45</v>
      </c>
      <c r="B36" s="22">
        <f t="shared" si="7"/>
        <v>1689773.3829932471</v>
      </c>
      <c r="C36" s="23">
        <v>30398.94</v>
      </c>
      <c r="D36" s="23">
        <v>100000</v>
      </c>
      <c r="E36" s="23"/>
      <c r="F36" s="23">
        <f t="shared" si="6"/>
        <v>1956041.7284250746</v>
      </c>
      <c r="G36" s="22">
        <f t="shared" si="4"/>
        <v>36879.659717602364</v>
      </c>
      <c r="H36" s="17"/>
      <c r="I36" s="23">
        <f t="shared" si="0"/>
        <v>3813093.7111359239</v>
      </c>
      <c r="J36" s="22">
        <f t="shared" si="8"/>
        <v>2255915.7074766383</v>
      </c>
      <c r="K36" s="23">
        <f t="shared" si="1"/>
        <v>1557178.0036592856</v>
      </c>
    </row>
    <row r="37" spans="1:11" x14ac:dyDescent="0.25">
      <c r="A37" s="42" t="s">
        <v>46</v>
      </c>
      <c r="B37" s="22">
        <f t="shared" si="7"/>
        <v>1726948.3974190985</v>
      </c>
      <c r="C37" s="23">
        <v>30398.94</v>
      </c>
      <c r="D37" s="23">
        <v>100000</v>
      </c>
      <c r="E37" s="23"/>
      <c r="F37" s="23">
        <f t="shared" si="6"/>
        <v>1999074.6464504262</v>
      </c>
      <c r="G37" s="22">
        <f t="shared" si="4"/>
        <v>37691.012231389614</v>
      </c>
      <c r="H37" s="17"/>
      <c r="I37" s="23">
        <f t="shared" si="0"/>
        <v>3894112.9961009142</v>
      </c>
      <c r="J37" s="22">
        <f t="shared" si="8"/>
        <v>2330360.9258233672</v>
      </c>
      <c r="K37" s="23">
        <f t="shared" si="1"/>
        <v>1563752.070277547</v>
      </c>
    </row>
    <row r="38" spans="1:11" x14ac:dyDescent="0.25">
      <c r="A38" s="6" t="s">
        <v>90</v>
      </c>
      <c r="C38" s="2"/>
      <c r="D38" s="2"/>
      <c r="E38" s="2"/>
      <c r="F38" s="2"/>
      <c r="G38" s="2"/>
      <c r="H38" s="2"/>
      <c r="I38" s="2"/>
      <c r="J38" s="14" t="s">
        <v>48</v>
      </c>
      <c r="K38" s="2"/>
    </row>
    <row r="39" spans="1:11" x14ac:dyDescent="0.25">
      <c r="B39" s="2"/>
      <c r="C39" s="2"/>
      <c r="D39" s="2"/>
      <c r="E39" s="2"/>
      <c r="F39" s="2"/>
      <c r="G39" s="2"/>
      <c r="H39" s="2"/>
      <c r="I39" s="2"/>
      <c r="J39" s="2"/>
      <c r="K39" s="2"/>
    </row>
    <row r="40" spans="1:11" ht="45" x14ac:dyDescent="0.25">
      <c r="A40" s="53" t="s">
        <v>49</v>
      </c>
      <c r="B40" s="63"/>
      <c r="C40" s="63"/>
      <c r="D40" s="63"/>
      <c r="E40" s="63"/>
      <c r="F40" s="63"/>
      <c r="G40" s="63"/>
      <c r="H40" s="2"/>
      <c r="I40" s="2"/>
      <c r="J40" s="2"/>
      <c r="K40" s="2"/>
    </row>
    <row r="41" spans="1:11" x14ac:dyDescent="0.25">
      <c r="A41" s="15" t="s">
        <v>50</v>
      </c>
      <c r="B41" s="2">
        <f t="shared" ref="B41:G41" si="9">SUM(B16:B27)</f>
        <v>14831888.281187577</v>
      </c>
      <c r="C41" s="2">
        <f t="shared" si="9"/>
        <v>364787.27999999997</v>
      </c>
      <c r="D41" s="2">
        <f t="shared" si="9"/>
        <v>1200000</v>
      </c>
      <c r="E41" s="2">
        <f t="shared" si="9"/>
        <v>96842</v>
      </c>
      <c r="F41" s="2">
        <f t="shared" si="9"/>
        <v>17215842.580250006</v>
      </c>
      <c r="G41" s="2">
        <f t="shared" si="9"/>
        <v>323709.08329183818</v>
      </c>
      <c r="H41" s="2"/>
      <c r="I41" s="2">
        <f>SUM(I16:I27)</f>
        <v>34033069.224729419</v>
      </c>
      <c r="J41" s="2">
        <f>SUM(J16:J27)</f>
        <v>17012717.800060753</v>
      </c>
      <c r="K41" s="2">
        <f>SUM(K16:K27)</f>
        <v>17020351.42466867</v>
      </c>
    </row>
    <row r="42" spans="1:11" x14ac:dyDescent="0.25">
      <c r="A42" s="15" t="s">
        <v>51</v>
      </c>
      <c r="B42" s="2">
        <f t="shared" ref="B42:G42" si="10">SUM(B28:B37)</f>
        <v>15689111.962423416</v>
      </c>
      <c r="C42" s="2">
        <f t="shared" si="10"/>
        <v>303989.39999999997</v>
      </c>
      <c r="D42" s="2">
        <f t="shared" si="10"/>
        <v>1000000</v>
      </c>
      <c r="E42" s="2">
        <f t="shared" si="10"/>
        <v>48421</v>
      </c>
      <c r="F42" s="2">
        <f t="shared" si="10"/>
        <v>18161345.177583408</v>
      </c>
      <c r="G42" s="2">
        <f t="shared" si="10"/>
        <v>342418.17054817022</v>
      </c>
      <c r="H42" s="2"/>
      <c r="I42" s="2">
        <f>SUM(I28:I37)</f>
        <v>35545285.710554995</v>
      </c>
      <c r="J42" s="2">
        <f>SUM(J28:J37)</f>
        <v>20223600.902300142</v>
      </c>
      <c r="K42" s="2">
        <f>SUM(K28:K37)</f>
        <v>15321684.808254849</v>
      </c>
    </row>
    <row r="43" spans="1:11" x14ac:dyDescent="0.25">
      <c r="A43" s="15" t="s">
        <v>52</v>
      </c>
      <c r="B43" s="2">
        <f>B41+B42</f>
        <v>30521000.243610993</v>
      </c>
      <c r="C43" s="2">
        <f t="shared" ref="C43:K43" si="11">C41+C42</f>
        <v>668776.67999999993</v>
      </c>
      <c r="D43" s="2">
        <f t="shared" si="11"/>
        <v>2200000</v>
      </c>
      <c r="E43" s="2">
        <f t="shared" si="11"/>
        <v>145263</v>
      </c>
      <c r="F43" s="2">
        <f t="shared" si="11"/>
        <v>35377187.757833414</v>
      </c>
      <c r="G43" s="2">
        <f>G41+G42</f>
        <v>666127.2538400084</v>
      </c>
      <c r="H43" s="2"/>
      <c r="I43" s="2">
        <f t="shared" si="11"/>
        <v>69578354.935284406</v>
      </c>
      <c r="J43" s="2">
        <f t="shared" si="11"/>
        <v>37236318.702360898</v>
      </c>
      <c r="K43" s="2">
        <f t="shared" si="11"/>
        <v>32342036.232923519</v>
      </c>
    </row>
    <row r="44" spans="1:11" x14ac:dyDescent="0.25">
      <c r="B44" s="2"/>
      <c r="C44" s="2"/>
      <c r="D44" s="2"/>
      <c r="E44" s="2"/>
      <c r="F44" s="2"/>
      <c r="G44" s="2"/>
      <c r="H44" s="2"/>
      <c r="I44" s="2"/>
      <c r="J44" s="2"/>
      <c r="K44" s="2"/>
    </row>
    <row r="45" spans="1:11" x14ac:dyDescent="0.25">
      <c r="A45" s="15" t="s">
        <v>53</v>
      </c>
      <c r="B45" s="2"/>
      <c r="C45" s="2"/>
      <c r="D45" s="2"/>
      <c r="E45" s="2"/>
      <c r="F45" s="2"/>
      <c r="G45" s="2"/>
      <c r="H45" s="2"/>
      <c r="I45" s="2"/>
      <c r="J45" s="2"/>
      <c r="K45" s="2"/>
    </row>
    <row r="46" spans="1:11" x14ac:dyDescent="0.25">
      <c r="A46" s="8" t="s">
        <v>55</v>
      </c>
    </row>
  </sheetData>
  <mergeCells count="4">
    <mergeCell ref="A1:K1"/>
    <mergeCell ref="F2:G2"/>
    <mergeCell ref="F3:G3"/>
    <mergeCell ref="B2:E2"/>
  </mergeCells>
  <phoneticPr fontId="6" type="noConversion"/>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B5D5A-A731-44B7-8408-A6A7D441B65A}">
  <dimension ref="A1:H47"/>
  <sheetViews>
    <sheetView workbookViewId="0">
      <selection activeCell="C19" sqref="C19"/>
    </sheetView>
  </sheetViews>
  <sheetFormatPr defaultRowHeight="15" x14ac:dyDescent="0.25"/>
  <cols>
    <col min="1" max="1" width="21.25" customWidth="1"/>
    <col min="2" max="2" width="16.875" customWidth="1"/>
    <col min="3" max="3" width="20" customWidth="1"/>
    <col min="4" max="4" width="7.625" customWidth="1"/>
    <col min="5" max="7" width="16.625" customWidth="1"/>
  </cols>
  <sheetData>
    <row r="1" spans="1:8" s="4" customFormat="1" ht="15.75" x14ac:dyDescent="0.25">
      <c r="A1" s="87" t="s">
        <v>91</v>
      </c>
      <c r="B1" s="87"/>
      <c r="C1" s="87"/>
      <c r="D1" s="87"/>
      <c r="E1" s="87"/>
      <c r="F1" s="87"/>
      <c r="G1" s="87"/>
    </row>
    <row r="2" spans="1:8" x14ac:dyDescent="0.25">
      <c r="A2" s="35" t="s">
        <v>1</v>
      </c>
      <c r="B2" s="33" t="s">
        <v>57</v>
      </c>
      <c r="C2" s="33" t="s">
        <v>2</v>
      </c>
      <c r="D2" s="30"/>
      <c r="E2" s="30"/>
      <c r="F2" s="31"/>
      <c r="G2" s="27"/>
    </row>
    <row r="3" spans="1:8" ht="30" x14ac:dyDescent="0.25">
      <c r="A3" s="35" t="s">
        <v>3</v>
      </c>
      <c r="B3" s="27" t="s">
        <v>92</v>
      </c>
      <c r="C3" s="28" t="s">
        <v>4</v>
      </c>
      <c r="D3" s="30"/>
      <c r="E3" s="30"/>
      <c r="F3" s="31"/>
      <c r="G3" s="27"/>
    </row>
    <row r="4" spans="1:8" ht="45" x14ac:dyDescent="0.25">
      <c r="A4" s="35" t="s">
        <v>5</v>
      </c>
      <c r="B4" s="28" t="s">
        <v>93</v>
      </c>
      <c r="C4" s="28" t="s">
        <v>7</v>
      </c>
      <c r="D4" s="28"/>
      <c r="E4" s="34" t="s">
        <v>9</v>
      </c>
      <c r="F4" s="34" t="s">
        <v>10</v>
      </c>
      <c r="G4" s="35" t="s">
        <v>11</v>
      </c>
      <c r="H4" s="1"/>
    </row>
    <row r="5" spans="1:8" ht="15.75" thickBot="1" x14ac:dyDescent="0.3">
      <c r="A5" s="41" t="s">
        <v>12</v>
      </c>
      <c r="B5" s="19">
        <v>0.02</v>
      </c>
      <c r="C5" s="20">
        <v>2.1999999999999999E-2</v>
      </c>
      <c r="D5" s="21"/>
      <c r="E5" s="21"/>
      <c r="F5" s="20">
        <v>3.3000000000000002E-2</v>
      </c>
      <c r="G5" s="21" t="s">
        <v>14</v>
      </c>
      <c r="H5" s="1"/>
    </row>
    <row r="6" spans="1:8" x14ac:dyDescent="0.25">
      <c r="A6" s="57" t="s">
        <v>15</v>
      </c>
      <c r="B6" s="59"/>
      <c r="C6" s="59"/>
      <c r="D6" s="59"/>
      <c r="E6" s="59"/>
      <c r="F6" s="58">
        <v>419273</v>
      </c>
      <c r="G6" s="59"/>
    </row>
    <row r="7" spans="1:8" x14ac:dyDescent="0.25">
      <c r="A7" s="57" t="s">
        <v>16</v>
      </c>
      <c r="B7" s="59"/>
      <c r="C7" s="59"/>
      <c r="D7" s="59"/>
      <c r="E7" s="59"/>
      <c r="F7" s="58">
        <v>436144</v>
      </c>
      <c r="G7" s="59"/>
    </row>
    <row r="8" spans="1:8" x14ac:dyDescent="0.25">
      <c r="A8" s="57" t="s">
        <v>17</v>
      </c>
      <c r="B8" s="59"/>
      <c r="C8" s="59"/>
      <c r="D8" s="59"/>
      <c r="E8" s="59"/>
      <c r="F8" s="58">
        <v>401050</v>
      </c>
      <c r="G8" s="59"/>
    </row>
    <row r="9" spans="1:8" x14ac:dyDescent="0.25">
      <c r="A9" s="57" t="s">
        <v>18</v>
      </c>
      <c r="B9" s="59"/>
      <c r="C9" s="59"/>
      <c r="D9" s="59"/>
      <c r="E9" s="59"/>
      <c r="F9" s="58">
        <v>419309</v>
      </c>
      <c r="G9" s="59"/>
    </row>
    <row r="10" spans="1:8" x14ac:dyDescent="0.25">
      <c r="A10" s="57" t="s">
        <v>19</v>
      </c>
      <c r="B10" s="59">
        <v>275000</v>
      </c>
      <c r="C10" s="59">
        <v>318000</v>
      </c>
      <c r="D10" s="59"/>
      <c r="E10" s="59">
        <f t="shared" ref="E10:E37" si="0">SUM(B10:C10)</f>
        <v>593000</v>
      </c>
      <c r="F10" s="58">
        <v>452268</v>
      </c>
      <c r="G10" s="59">
        <f t="shared" ref="G10:G37" si="1">E10-F10</f>
        <v>140732</v>
      </c>
    </row>
    <row r="11" spans="1:8" x14ac:dyDescent="0.25">
      <c r="A11" s="57" t="s">
        <v>20</v>
      </c>
      <c r="B11" s="59">
        <v>280500</v>
      </c>
      <c r="C11" s="59">
        <f>C10*1.022</f>
        <v>324996</v>
      </c>
      <c r="D11" s="59"/>
      <c r="E11" s="59">
        <f t="shared" si="0"/>
        <v>605496</v>
      </c>
      <c r="F11" s="58">
        <f>AVERAGE(F6:F10)</f>
        <v>425608.8</v>
      </c>
      <c r="G11" s="59">
        <f t="shared" si="1"/>
        <v>179887.2</v>
      </c>
    </row>
    <row r="12" spans="1:8" x14ac:dyDescent="0.25">
      <c r="A12" s="57" t="s">
        <v>21</v>
      </c>
      <c r="B12" s="59">
        <v>286110</v>
      </c>
      <c r="C12" s="59">
        <v>355272</v>
      </c>
      <c r="D12" s="59"/>
      <c r="E12" s="59">
        <f t="shared" si="0"/>
        <v>641382</v>
      </c>
      <c r="F12" s="58">
        <f>F11*1.033</f>
        <v>439653.89039999997</v>
      </c>
      <c r="G12" s="59">
        <f t="shared" si="1"/>
        <v>201728.10960000003</v>
      </c>
    </row>
    <row r="13" spans="1:8" x14ac:dyDescent="0.25">
      <c r="A13" s="57" t="s">
        <v>22</v>
      </c>
      <c r="B13" s="59">
        <v>291832</v>
      </c>
      <c r="C13" s="59">
        <v>355264</v>
      </c>
      <c r="D13" s="59"/>
      <c r="E13" s="59">
        <f t="shared" si="0"/>
        <v>647096</v>
      </c>
      <c r="F13" s="58">
        <f t="shared" ref="F13:F32" si="2">F12*1.033</f>
        <v>454162.46878319996</v>
      </c>
      <c r="G13" s="59">
        <f t="shared" si="1"/>
        <v>192933.53121680004</v>
      </c>
    </row>
    <row r="14" spans="1:8" x14ac:dyDescent="0.25">
      <c r="A14" s="57" t="s">
        <v>23</v>
      </c>
      <c r="B14" s="59">
        <v>297669</v>
      </c>
      <c r="C14" s="59">
        <v>356661</v>
      </c>
      <c r="D14" s="59"/>
      <c r="E14" s="59">
        <f t="shared" si="0"/>
        <v>654330</v>
      </c>
      <c r="F14" s="58">
        <f t="shared" si="2"/>
        <v>469149.83025304554</v>
      </c>
      <c r="G14" s="59">
        <f t="shared" si="1"/>
        <v>185180.16974695446</v>
      </c>
    </row>
    <row r="15" spans="1:8" x14ac:dyDescent="0.25">
      <c r="A15" s="57" t="s">
        <v>24</v>
      </c>
      <c r="B15" s="59">
        <v>303622</v>
      </c>
      <c r="C15" s="59">
        <v>351851</v>
      </c>
      <c r="D15" s="59"/>
      <c r="E15" s="59">
        <f t="shared" si="0"/>
        <v>655473</v>
      </c>
      <c r="F15" s="58">
        <f t="shared" si="2"/>
        <v>484631.77465139603</v>
      </c>
      <c r="G15" s="59">
        <f t="shared" si="1"/>
        <v>170841.22534860397</v>
      </c>
    </row>
    <row r="16" spans="1:8" x14ac:dyDescent="0.25">
      <c r="A16" s="15" t="s">
        <v>25</v>
      </c>
      <c r="B16" s="3">
        <v>309695</v>
      </c>
      <c r="C16" s="3">
        <v>352536</v>
      </c>
      <c r="D16" s="3"/>
      <c r="E16" s="3">
        <f t="shared" si="0"/>
        <v>662231</v>
      </c>
      <c r="F16" s="2">
        <f t="shared" si="2"/>
        <v>500624.62321489205</v>
      </c>
      <c r="G16" s="3">
        <f t="shared" si="1"/>
        <v>161606.37678510795</v>
      </c>
    </row>
    <row r="17" spans="1:7" x14ac:dyDescent="0.25">
      <c r="A17" s="15" t="s">
        <v>26</v>
      </c>
      <c r="B17" s="3">
        <v>315889</v>
      </c>
      <c r="C17" s="3">
        <v>367883</v>
      </c>
      <c r="D17" s="3"/>
      <c r="E17" s="3">
        <f t="shared" si="0"/>
        <v>683772</v>
      </c>
      <c r="F17" s="2">
        <f t="shared" si="2"/>
        <v>517145.23578098346</v>
      </c>
      <c r="G17" s="3">
        <f t="shared" si="1"/>
        <v>166626.76421901654</v>
      </c>
    </row>
    <row r="18" spans="1:7" x14ac:dyDescent="0.25">
      <c r="A18" s="15" t="s">
        <v>27</v>
      </c>
      <c r="B18" s="3">
        <v>322206</v>
      </c>
      <c r="C18" s="3">
        <v>371249</v>
      </c>
      <c r="D18" s="3"/>
      <c r="E18" s="3">
        <f t="shared" si="0"/>
        <v>693455</v>
      </c>
      <c r="F18" s="2">
        <f t="shared" si="2"/>
        <v>534211.0285617559</v>
      </c>
      <c r="G18" s="3">
        <f t="shared" si="1"/>
        <v>159243.9714382441</v>
      </c>
    </row>
    <row r="19" spans="1:7" x14ac:dyDescent="0.25">
      <c r="A19" s="15" t="s">
        <v>28</v>
      </c>
      <c r="B19" s="3">
        <v>328650</v>
      </c>
      <c r="C19" s="3">
        <f t="shared" ref="C19:C32" si="3">C18*1.022</f>
        <v>379416.478</v>
      </c>
      <c r="D19" s="3"/>
      <c r="E19" s="3">
        <f t="shared" si="0"/>
        <v>708066.478</v>
      </c>
      <c r="F19" s="2">
        <f t="shared" si="2"/>
        <v>551839.9925042938</v>
      </c>
      <c r="G19" s="3">
        <f t="shared" si="1"/>
        <v>156226.48549570621</v>
      </c>
    </row>
    <row r="20" spans="1:7" x14ac:dyDescent="0.25">
      <c r="A20" s="15" t="s">
        <v>29</v>
      </c>
      <c r="B20" s="3">
        <v>335223</v>
      </c>
      <c r="C20" s="3">
        <f t="shared" si="3"/>
        <v>387763.64051599998</v>
      </c>
      <c r="D20" s="3"/>
      <c r="E20" s="3">
        <f t="shared" si="0"/>
        <v>722986.64051599998</v>
      </c>
      <c r="F20" s="2">
        <f t="shared" si="2"/>
        <v>570050.71225693543</v>
      </c>
      <c r="G20" s="3">
        <f t="shared" si="1"/>
        <v>152935.92825906456</v>
      </c>
    </row>
    <row r="21" spans="1:7" x14ac:dyDescent="0.25">
      <c r="A21" s="15" t="s">
        <v>30</v>
      </c>
      <c r="B21" s="3">
        <v>341928</v>
      </c>
      <c r="C21" s="3">
        <f t="shared" si="3"/>
        <v>396294.44060735201</v>
      </c>
      <c r="D21" s="3"/>
      <c r="E21" s="3">
        <f t="shared" si="0"/>
        <v>738222.44060735195</v>
      </c>
      <c r="F21" s="2">
        <f t="shared" si="2"/>
        <v>588862.38576141431</v>
      </c>
      <c r="G21" s="3">
        <f t="shared" si="1"/>
        <v>149360.05484593764</v>
      </c>
    </row>
    <row r="22" spans="1:7" x14ac:dyDescent="0.25">
      <c r="A22" s="15" t="s">
        <v>31</v>
      </c>
      <c r="B22" s="3">
        <v>348766</v>
      </c>
      <c r="C22" s="3">
        <f t="shared" si="3"/>
        <v>405012.91830071376</v>
      </c>
      <c r="D22" s="3"/>
      <c r="E22" s="3">
        <f t="shared" si="0"/>
        <v>753778.91830071376</v>
      </c>
      <c r="F22" s="2">
        <f t="shared" si="2"/>
        <v>608294.84449154092</v>
      </c>
      <c r="G22" s="3">
        <f t="shared" si="1"/>
        <v>145484.07380917284</v>
      </c>
    </row>
    <row r="23" spans="1:7" x14ac:dyDescent="0.25">
      <c r="A23" s="15" t="s">
        <v>32</v>
      </c>
      <c r="B23" s="3">
        <v>355742</v>
      </c>
      <c r="C23" s="3">
        <f t="shared" si="3"/>
        <v>413923.20250332949</v>
      </c>
      <c r="D23" s="3"/>
      <c r="E23" s="3">
        <f t="shared" si="0"/>
        <v>769665.20250332949</v>
      </c>
      <c r="F23" s="2">
        <f t="shared" si="2"/>
        <v>628368.57435976167</v>
      </c>
      <c r="G23" s="3">
        <f t="shared" si="1"/>
        <v>141296.62814356782</v>
      </c>
    </row>
    <row r="24" spans="1:7" x14ac:dyDescent="0.25">
      <c r="A24" s="15" t="s">
        <v>33</v>
      </c>
      <c r="B24" s="3">
        <v>362857</v>
      </c>
      <c r="C24" s="3">
        <f t="shared" si="3"/>
        <v>423029.51295840275</v>
      </c>
      <c r="D24" s="3"/>
      <c r="E24" s="3">
        <f t="shared" si="0"/>
        <v>785886.51295840275</v>
      </c>
      <c r="F24" s="2">
        <f t="shared" si="2"/>
        <v>649104.73731363378</v>
      </c>
      <c r="G24" s="3">
        <f t="shared" si="1"/>
        <v>136781.77564476896</v>
      </c>
    </row>
    <row r="25" spans="1:7" x14ac:dyDescent="0.25">
      <c r="A25" s="15" t="s">
        <v>34</v>
      </c>
      <c r="B25" s="3">
        <v>370114</v>
      </c>
      <c r="C25" s="3">
        <f t="shared" si="3"/>
        <v>432336.1622434876</v>
      </c>
      <c r="D25" s="3"/>
      <c r="E25" s="3">
        <f t="shared" si="0"/>
        <v>802450.16224348755</v>
      </c>
      <c r="F25" s="2">
        <f t="shared" si="2"/>
        <v>670525.19364498369</v>
      </c>
      <c r="G25" s="3">
        <f t="shared" si="1"/>
        <v>131924.96859850385</v>
      </c>
    </row>
    <row r="26" spans="1:7" x14ac:dyDescent="0.25">
      <c r="A26" s="15" t="s">
        <v>35</v>
      </c>
      <c r="B26" s="3">
        <v>377516</v>
      </c>
      <c r="C26" s="3">
        <f t="shared" si="3"/>
        <v>441847.55781284434</v>
      </c>
      <c r="D26" s="3"/>
      <c r="E26" s="3">
        <f t="shared" si="0"/>
        <v>819363.5578128444</v>
      </c>
      <c r="F26" s="2">
        <f t="shared" si="2"/>
        <v>692652.52503526805</v>
      </c>
      <c r="G26" s="3">
        <f t="shared" si="1"/>
        <v>126711.03277757636</v>
      </c>
    </row>
    <row r="27" spans="1:7" x14ac:dyDescent="0.25">
      <c r="A27" s="15" t="s">
        <v>36</v>
      </c>
      <c r="B27" s="3">
        <v>385066</v>
      </c>
      <c r="C27" s="3">
        <f t="shared" si="3"/>
        <v>451568.20408472692</v>
      </c>
      <c r="D27" s="3"/>
      <c r="E27" s="3">
        <f t="shared" si="0"/>
        <v>836634.20408472698</v>
      </c>
      <c r="F27" s="2">
        <f t="shared" si="2"/>
        <v>715510.05836143182</v>
      </c>
      <c r="G27" s="3">
        <f t="shared" si="1"/>
        <v>121124.14572329517</v>
      </c>
    </row>
    <row r="28" spans="1:7" x14ac:dyDescent="0.25">
      <c r="A28" s="15" t="s">
        <v>37</v>
      </c>
      <c r="B28" s="3">
        <v>392768</v>
      </c>
      <c r="C28" s="3">
        <f t="shared" si="3"/>
        <v>461502.7045745909</v>
      </c>
      <c r="D28" s="3"/>
      <c r="E28" s="3">
        <f t="shared" si="0"/>
        <v>854270.7045745909</v>
      </c>
      <c r="F28" s="2">
        <f t="shared" si="2"/>
        <v>739121.89028735901</v>
      </c>
      <c r="G28" s="3">
        <f t="shared" si="1"/>
        <v>115148.81428723189</v>
      </c>
    </row>
    <row r="29" spans="1:7" x14ac:dyDescent="0.25">
      <c r="A29" s="15" t="s">
        <v>38</v>
      </c>
      <c r="B29" s="3">
        <v>400623</v>
      </c>
      <c r="C29" s="3">
        <f t="shared" si="3"/>
        <v>471655.76407523191</v>
      </c>
      <c r="D29" s="3"/>
      <c r="E29" s="3">
        <f t="shared" si="0"/>
        <v>872278.76407523197</v>
      </c>
      <c r="F29" s="2">
        <f t="shared" si="2"/>
        <v>763512.91266684176</v>
      </c>
      <c r="G29" s="3">
        <f t="shared" si="1"/>
        <v>108765.85140839021</v>
      </c>
    </row>
    <row r="30" spans="1:7" x14ac:dyDescent="0.25">
      <c r="A30" s="15" t="s">
        <v>39</v>
      </c>
      <c r="B30" s="3">
        <v>408636</v>
      </c>
      <c r="C30" s="3">
        <f t="shared" si="3"/>
        <v>482032.19088488701</v>
      </c>
      <c r="D30" s="3"/>
      <c r="E30" s="3">
        <f t="shared" si="0"/>
        <v>890668.19088488701</v>
      </c>
      <c r="F30" s="2">
        <f t="shared" si="2"/>
        <v>788708.83878484752</v>
      </c>
      <c r="G30" s="3">
        <f t="shared" si="1"/>
        <v>101959.35210003948</v>
      </c>
    </row>
    <row r="31" spans="1:7" x14ac:dyDescent="0.25">
      <c r="A31" s="15" t="s">
        <v>40</v>
      </c>
      <c r="B31" s="3">
        <f>B30*1.02</f>
        <v>416808.72000000003</v>
      </c>
      <c r="C31" s="3">
        <f t="shared" si="3"/>
        <v>492636.89908435452</v>
      </c>
      <c r="D31" s="3"/>
      <c r="E31" s="3">
        <f t="shared" si="0"/>
        <v>909445.61908435449</v>
      </c>
      <c r="F31" s="2">
        <f t="shared" si="2"/>
        <v>814736.23046474741</v>
      </c>
      <c r="G31" s="3">
        <f t="shared" si="1"/>
        <v>94709.388619607082</v>
      </c>
    </row>
    <row r="32" spans="1:7" x14ac:dyDescent="0.25">
      <c r="A32" s="15" t="s">
        <v>41</v>
      </c>
      <c r="B32" s="3">
        <f>B31*1.02</f>
        <v>425144.89440000005</v>
      </c>
      <c r="C32" s="3">
        <f t="shared" si="3"/>
        <v>503474.91086421034</v>
      </c>
      <c r="D32" s="7"/>
      <c r="E32" s="3">
        <f t="shared" si="0"/>
        <v>928619.80526421033</v>
      </c>
      <c r="F32" s="2">
        <f t="shared" si="2"/>
        <v>841622.52607008396</v>
      </c>
      <c r="G32" s="3">
        <f t="shared" si="1"/>
        <v>86997.279194126371</v>
      </c>
    </row>
    <row r="33" spans="1:7" x14ac:dyDescent="0.25">
      <c r="A33" s="42" t="s">
        <v>42</v>
      </c>
      <c r="B33" s="23">
        <f t="shared" ref="B33:B37" si="4">B32*1.02</f>
        <v>433647.79228800006</v>
      </c>
      <c r="C33" s="23">
        <f>C32*(1+$C$5)</f>
        <v>514551.35890322295</v>
      </c>
      <c r="D33" s="7"/>
      <c r="E33" s="23">
        <f t="shared" si="0"/>
        <v>948199.15119122295</v>
      </c>
      <c r="F33" s="22">
        <f>1.033*F32</f>
        <v>869396.06943039666</v>
      </c>
      <c r="G33" s="23">
        <f t="shared" si="1"/>
        <v>78803.081760826288</v>
      </c>
    </row>
    <row r="34" spans="1:7" x14ac:dyDescent="0.25">
      <c r="A34" s="42" t="s">
        <v>43</v>
      </c>
      <c r="B34" s="23">
        <f t="shared" si="4"/>
        <v>442320.74813376006</v>
      </c>
      <c r="C34" s="23">
        <f>C33*(1+$C$5)</f>
        <v>525871.48879909387</v>
      </c>
      <c r="D34" s="7"/>
      <c r="E34" s="23">
        <f t="shared" si="0"/>
        <v>968192.23693285394</v>
      </c>
      <c r="F34" s="22">
        <f t="shared" ref="F34:F37" si="5">1.033*F33</f>
        <v>898086.13972159964</v>
      </c>
      <c r="G34" s="23">
        <f t="shared" si="1"/>
        <v>70106.097211254295</v>
      </c>
    </row>
    <row r="35" spans="1:7" x14ac:dyDescent="0.25">
      <c r="A35" s="42" t="s">
        <v>44</v>
      </c>
      <c r="B35" s="23">
        <f t="shared" si="4"/>
        <v>451167.16309643525</v>
      </c>
      <c r="C35" s="23">
        <f>C34*(1+$C$5)</f>
        <v>537440.6615526739</v>
      </c>
      <c r="D35" s="7"/>
      <c r="E35" s="23">
        <f t="shared" si="0"/>
        <v>988607.82464910916</v>
      </c>
      <c r="F35" s="22">
        <f t="shared" si="5"/>
        <v>927722.98233241239</v>
      </c>
      <c r="G35" s="23">
        <f t="shared" si="1"/>
        <v>60884.84231669677</v>
      </c>
    </row>
    <row r="36" spans="1:7" x14ac:dyDescent="0.25">
      <c r="A36" s="42" t="s">
        <v>45</v>
      </c>
      <c r="B36" s="23">
        <f t="shared" si="4"/>
        <v>460190.50635836396</v>
      </c>
      <c r="C36" s="23">
        <f>C35*(1+$C$5)</f>
        <v>549264.35610683274</v>
      </c>
      <c r="D36" s="7"/>
      <c r="E36" s="23">
        <f t="shared" si="0"/>
        <v>1009454.8624651968</v>
      </c>
      <c r="F36" s="22">
        <f t="shared" si="5"/>
        <v>958337.84074938192</v>
      </c>
      <c r="G36" s="23">
        <f t="shared" si="1"/>
        <v>51117.02171581483</v>
      </c>
    </row>
    <row r="37" spans="1:7" x14ac:dyDescent="0.25">
      <c r="A37" s="42" t="s">
        <v>46</v>
      </c>
      <c r="B37" s="23">
        <f t="shared" si="4"/>
        <v>469394.31648553122</v>
      </c>
      <c r="C37" s="23">
        <f>C36*(1+$C$5)</f>
        <v>561348.17194118304</v>
      </c>
      <c r="D37" s="7"/>
      <c r="E37" s="23">
        <f t="shared" si="0"/>
        <v>1030742.4884267142</v>
      </c>
      <c r="F37" s="22">
        <f t="shared" si="5"/>
        <v>989962.98949411151</v>
      </c>
      <c r="G37" s="23">
        <f t="shared" si="1"/>
        <v>40779.498932602699</v>
      </c>
    </row>
    <row r="38" spans="1:7" x14ac:dyDescent="0.25">
      <c r="A38" s="4" t="s">
        <v>94</v>
      </c>
      <c r="B38" s="2"/>
      <c r="C38" s="2"/>
      <c r="D38" s="2"/>
      <c r="E38" s="2"/>
      <c r="F38" s="14" t="s">
        <v>95</v>
      </c>
      <c r="G38" s="2"/>
    </row>
    <row r="39" spans="1:7" x14ac:dyDescent="0.25">
      <c r="B39" s="2"/>
      <c r="C39" s="2"/>
      <c r="D39" s="2"/>
      <c r="E39" s="2"/>
      <c r="F39" s="2"/>
      <c r="G39" s="2"/>
    </row>
    <row r="40" spans="1:7" ht="45" x14ac:dyDescent="0.25">
      <c r="A40" s="53" t="s">
        <v>49</v>
      </c>
      <c r="B40" s="63"/>
      <c r="C40" s="63"/>
      <c r="D40" s="2"/>
      <c r="E40" s="2"/>
      <c r="F40" s="2"/>
      <c r="G40" s="2"/>
    </row>
    <row r="41" spans="1:7" x14ac:dyDescent="0.25">
      <c r="A41" s="15" t="s">
        <v>50</v>
      </c>
      <c r="B41" s="2">
        <f>SUM(B16:B27)</f>
        <v>4153652</v>
      </c>
      <c r="C41" s="2">
        <f>SUM(C16:C27)</f>
        <v>4822860.1170268571</v>
      </c>
      <c r="D41" s="2"/>
      <c r="E41" s="2">
        <f>SUM(E16:E27)</f>
        <v>8976512.1170268562</v>
      </c>
      <c r="F41" s="2">
        <f>SUM(F16:F27)</f>
        <v>7227189.9112868942</v>
      </c>
      <c r="G41" s="2">
        <f>SUM(G16:G27)</f>
        <v>1749322.2057399617</v>
      </c>
    </row>
    <row r="42" spans="1:7" x14ac:dyDescent="0.25">
      <c r="A42" s="15" t="s">
        <v>51</v>
      </c>
      <c r="B42" s="2">
        <f>SUM(B28:B37)</f>
        <v>4300701.1407620907</v>
      </c>
      <c r="C42" s="2">
        <f>SUM(C28:C37)</f>
        <v>5099778.5067862812</v>
      </c>
      <c r="D42" s="2"/>
      <c r="E42" s="2">
        <f>SUM(E28:E37)</f>
        <v>9400479.6475483738</v>
      </c>
      <c r="F42" s="2">
        <f>SUM(F28:F37)</f>
        <v>8591208.4200017806</v>
      </c>
      <c r="G42" s="2">
        <f>SUM(G28:G37)</f>
        <v>809271.22754658991</v>
      </c>
    </row>
    <row r="43" spans="1:7" x14ac:dyDescent="0.25">
      <c r="A43" s="15" t="s">
        <v>52</v>
      </c>
      <c r="B43" s="2">
        <f>B41+B42</f>
        <v>8454353.1407620907</v>
      </c>
      <c r="C43" s="2">
        <f>C41+C42</f>
        <v>9922638.6238131374</v>
      </c>
      <c r="D43" s="2"/>
      <c r="E43" s="2">
        <f>E41+E42</f>
        <v>18376991.764575228</v>
      </c>
      <c r="F43" s="2">
        <f t="shared" ref="F43:G43" si="6">F41+F42</f>
        <v>15818398.331288675</v>
      </c>
      <c r="G43" s="2">
        <f t="shared" si="6"/>
        <v>2558593.4332865514</v>
      </c>
    </row>
    <row r="44" spans="1:7" x14ac:dyDescent="0.25">
      <c r="B44" s="2"/>
      <c r="C44" s="2"/>
      <c r="D44" s="2"/>
      <c r="E44" s="2"/>
      <c r="F44" s="2"/>
      <c r="G44" s="2"/>
    </row>
    <row r="45" spans="1:7" x14ac:dyDescent="0.25">
      <c r="A45" s="4" t="s">
        <v>96</v>
      </c>
      <c r="B45" s="2"/>
      <c r="C45" s="2"/>
      <c r="D45" s="2"/>
      <c r="E45" s="2"/>
      <c r="F45" s="2"/>
      <c r="G45" s="2"/>
    </row>
    <row r="46" spans="1:7" x14ac:dyDescent="0.25">
      <c r="A46" t="s">
        <v>97</v>
      </c>
    </row>
    <row r="47" spans="1:7" x14ac:dyDescent="0.25">
      <c r="A47" s="8" t="s">
        <v>55</v>
      </c>
    </row>
  </sheetData>
  <mergeCells count="1">
    <mergeCell ref="A1:G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DE64B-D214-4A02-84A7-22A38A7B95CF}">
  <dimension ref="A1:AH53"/>
  <sheetViews>
    <sheetView topLeftCell="D1" zoomScale="115" zoomScaleNormal="115" workbookViewId="0">
      <selection activeCell="L14" sqref="L14"/>
    </sheetView>
  </sheetViews>
  <sheetFormatPr defaultRowHeight="15" x14ac:dyDescent="0.25"/>
  <cols>
    <col min="1" max="1" width="21.25" customWidth="1"/>
    <col min="2" max="6" width="17" customWidth="1"/>
    <col min="7" max="7" width="14" customWidth="1"/>
    <col min="8" max="8" width="13" customWidth="1"/>
    <col min="9" max="9" width="12" customWidth="1"/>
    <col min="10" max="10" width="15.625" customWidth="1"/>
    <col min="11" max="11" width="16.25" customWidth="1"/>
    <col min="12" max="17" width="13" customWidth="1"/>
    <col min="18" max="18" width="16" bestFit="1" customWidth="1"/>
    <col min="19" max="19" width="8.25" customWidth="1"/>
    <col min="20" max="30" width="16" customWidth="1"/>
    <col min="32" max="32" width="15" customWidth="1"/>
    <col min="33" max="33" width="13" customWidth="1"/>
    <col min="34" max="34" width="15.375" customWidth="1"/>
  </cols>
  <sheetData>
    <row r="1" spans="1:30" s="4" customFormat="1" ht="15.75" x14ac:dyDescent="0.25">
      <c r="A1" s="18" t="s">
        <v>98</v>
      </c>
      <c r="B1" s="18"/>
      <c r="C1" s="18"/>
      <c r="D1" s="18"/>
      <c r="E1" s="18"/>
      <c r="F1" s="18"/>
      <c r="G1" s="18"/>
      <c r="H1" s="18"/>
      <c r="I1" s="18"/>
      <c r="J1" s="18"/>
      <c r="K1" s="18"/>
      <c r="L1" s="18"/>
      <c r="M1" s="18"/>
      <c r="N1" s="18"/>
      <c r="O1" s="18"/>
      <c r="P1" s="18"/>
      <c r="Q1" s="18"/>
      <c r="R1" s="18"/>
      <c r="S1" s="18"/>
      <c r="T1" s="18"/>
      <c r="U1" s="18"/>
      <c r="V1" s="18"/>
      <c r="W1" s="18"/>
      <c r="X1" s="72"/>
      <c r="Y1" s="72"/>
      <c r="Z1" s="72"/>
      <c r="AA1" s="72"/>
      <c r="AB1" s="72"/>
      <c r="AC1" s="72"/>
      <c r="AD1" s="72"/>
    </row>
    <row r="2" spans="1:30" s="4" customFormat="1" ht="30" x14ac:dyDescent="0.25">
      <c r="A2" s="26" t="s">
        <v>1</v>
      </c>
      <c r="B2" s="51" t="s">
        <v>99</v>
      </c>
      <c r="C2" s="51"/>
      <c r="D2" s="51"/>
      <c r="E2" s="51"/>
      <c r="F2" s="51"/>
      <c r="G2" s="91" t="s">
        <v>100</v>
      </c>
      <c r="H2" s="91"/>
      <c r="I2" s="91"/>
      <c r="J2" s="91" t="s">
        <v>2</v>
      </c>
      <c r="K2" s="89"/>
      <c r="L2" s="89"/>
      <c r="M2" s="89"/>
      <c r="N2" s="89"/>
      <c r="O2" s="89"/>
      <c r="P2" s="89"/>
      <c r="Q2" s="89"/>
      <c r="R2" s="53" t="s">
        <v>101</v>
      </c>
      <c r="S2" s="43"/>
      <c r="T2" s="43"/>
      <c r="U2" s="43"/>
      <c r="V2" s="43"/>
    </row>
    <row r="3" spans="1:30" ht="45" x14ac:dyDescent="0.25">
      <c r="A3" s="35" t="s">
        <v>3</v>
      </c>
      <c r="B3" s="51" t="s">
        <v>99</v>
      </c>
      <c r="C3" s="89" t="s">
        <v>102</v>
      </c>
      <c r="D3" s="89"/>
      <c r="E3" s="89"/>
      <c r="F3" s="89"/>
      <c r="G3" s="32" t="s">
        <v>102</v>
      </c>
      <c r="H3" s="27"/>
      <c r="I3" s="27" t="s">
        <v>103</v>
      </c>
      <c r="J3" s="89" t="s">
        <v>4</v>
      </c>
      <c r="K3" s="89"/>
      <c r="L3" s="89"/>
      <c r="M3" s="89"/>
      <c r="N3" s="89"/>
      <c r="O3" s="89"/>
      <c r="P3" s="89"/>
      <c r="R3" s="52" t="s">
        <v>99</v>
      </c>
      <c r="S3" s="30"/>
      <c r="T3" s="30"/>
      <c r="U3" s="31"/>
      <c r="V3" s="27"/>
    </row>
    <row r="4" spans="1:30" ht="76.5" customHeight="1" x14ac:dyDescent="0.25">
      <c r="A4" s="35" t="s">
        <v>5</v>
      </c>
      <c r="B4" s="32" t="s">
        <v>104</v>
      </c>
      <c r="C4" s="50" t="s">
        <v>105</v>
      </c>
      <c r="D4" s="50" t="s">
        <v>106</v>
      </c>
      <c r="E4" s="50" t="s">
        <v>107</v>
      </c>
      <c r="F4" s="28" t="s">
        <v>108</v>
      </c>
      <c r="G4" s="32" t="s">
        <v>109</v>
      </c>
      <c r="H4" s="32" t="s">
        <v>110</v>
      </c>
      <c r="I4" s="32" t="s">
        <v>111</v>
      </c>
      <c r="J4" s="32" t="s">
        <v>112</v>
      </c>
      <c r="K4" s="50" t="s">
        <v>113</v>
      </c>
      <c r="L4" s="50" t="s">
        <v>114</v>
      </c>
      <c r="M4" s="50" t="s">
        <v>115</v>
      </c>
      <c r="N4" s="50" t="s">
        <v>116</v>
      </c>
      <c r="O4" s="28" t="s">
        <v>117</v>
      </c>
      <c r="P4" s="32" t="s">
        <v>118</v>
      </c>
      <c r="R4" s="28" t="s">
        <v>119</v>
      </c>
      <c r="S4" s="30"/>
      <c r="T4" s="34" t="s">
        <v>9</v>
      </c>
      <c r="U4" s="34" t="s">
        <v>10</v>
      </c>
      <c r="V4" s="35" t="s">
        <v>11</v>
      </c>
      <c r="W4" s="73" t="s">
        <v>120</v>
      </c>
    </row>
    <row r="5" spans="1:30" x14ac:dyDescent="0.25">
      <c r="A5" s="41" t="s">
        <v>12</v>
      </c>
      <c r="B5" s="19">
        <v>0.02</v>
      </c>
      <c r="C5" s="49"/>
      <c r="D5" s="49"/>
      <c r="E5" s="49"/>
      <c r="F5" s="20"/>
      <c r="G5" s="20"/>
      <c r="H5" s="20"/>
      <c r="I5" s="19">
        <v>0.02</v>
      </c>
      <c r="J5" s="76">
        <v>2.1999999999999999E-2</v>
      </c>
      <c r="K5" s="75">
        <v>2.1999999999999999E-2</v>
      </c>
      <c r="L5" s="75">
        <v>2.1999999999999999E-2</v>
      </c>
      <c r="M5" s="75">
        <v>2.1999999999999999E-2</v>
      </c>
      <c r="N5" s="49">
        <v>2.1999999999999999E-2</v>
      </c>
      <c r="O5" s="21"/>
      <c r="P5" s="47" t="s">
        <v>13</v>
      </c>
      <c r="R5" s="20"/>
      <c r="S5" s="48"/>
      <c r="T5" s="21"/>
      <c r="U5" s="20">
        <v>0.02</v>
      </c>
      <c r="V5" s="21" t="s">
        <v>14</v>
      </c>
      <c r="W5" s="21" t="s">
        <v>14</v>
      </c>
    </row>
    <row r="6" spans="1:30" x14ac:dyDescent="0.25">
      <c r="A6" s="15" t="s">
        <v>15</v>
      </c>
      <c r="B6" s="59"/>
      <c r="C6" s="10"/>
      <c r="D6" s="10"/>
      <c r="E6" s="10"/>
      <c r="F6" s="3"/>
      <c r="G6" s="59"/>
      <c r="H6" s="59"/>
      <c r="I6" s="59"/>
      <c r="J6" s="2"/>
      <c r="K6" s="11"/>
      <c r="L6" s="11"/>
      <c r="M6" s="11"/>
      <c r="N6" s="11"/>
      <c r="O6" s="3"/>
      <c r="P6" s="3"/>
      <c r="R6" s="3"/>
      <c r="T6" s="3"/>
      <c r="U6" s="2"/>
      <c r="V6" s="3"/>
    </row>
    <row r="7" spans="1:30" x14ac:dyDescent="0.25">
      <c r="A7" s="15" t="s">
        <v>16</v>
      </c>
      <c r="B7" s="59">
        <v>4803303.87</v>
      </c>
      <c r="C7" s="10">
        <v>9965154.5800000001</v>
      </c>
      <c r="D7" s="10">
        <v>-9700032.0299999993</v>
      </c>
      <c r="E7" s="10"/>
      <c r="F7" s="59">
        <f>C7+D7+E7</f>
        <v>265122.55000000075</v>
      </c>
      <c r="G7" s="59"/>
      <c r="H7" s="59"/>
      <c r="I7" s="59">
        <v>1261353.74</v>
      </c>
      <c r="J7" s="2">
        <v>48657510.560000002</v>
      </c>
      <c r="K7" s="11">
        <v>-29980380.02</v>
      </c>
      <c r="L7" s="11">
        <v>-4666625.0999999996</v>
      </c>
      <c r="M7" s="11">
        <v>-14420.62</v>
      </c>
      <c r="N7" s="11">
        <v>-17777.16</v>
      </c>
      <c r="O7" s="59">
        <f>J7+K7+L7+M7+N7</f>
        <v>13978307.660000004</v>
      </c>
      <c r="P7" s="58">
        <v>6156506.4199999999</v>
      </c>
      <c r="R7" s="59"/>
      <c r="S7" s="61"/>
      <c r="T7" s="59">
        <f t="shared" ref="T7:T36" si="0">SUM(O7+P7+F7+B7+G7+R7+I7)</f>
        <v>26464594.240000006</v>
      </c>
      <c r="U7" s="58"/>
      <c r="V7" s="59"/>
    </row>
    <row r="8" spans="1:30" x14ac:dyDescent="0.25">
      <c r="A8" s="15" t="s">
        <v>17</v>
      </c>
      <c r="B8" s="59">
        <v>3319204.69</v>
      </c>
      <c r="C8" s="10">
        <v>20286944.859999999</v>
      </c>
      <c r="D8" s="10">
        <v>-3195449.75</v>
      </c>
      <c r="E8" s="10"/>
      <c r="F8" s="59">
        <f t="shared" ref="F8:F31" si="1">C8+D8+E8</f>
        <v>17091495.109999999</v>
      </c>
      <c r="G8" s="59"/>
      <c r="H8" s="59"/>
      <c r="I8" s="59">
        <v>876073.68</v>
      </c>
      <c r="J8" s="2">
        <v>55510717.920000002</v>
      </c>
      <c r="K8" s="11">
        <v>-32833792.600000001</v>
      </c>
      <c r="L8" s="11">
        <v>-4360242.97</v>
      </c>
      <c r="M8" s="11">
        <v>-14834.1</v>
      </c>
      <c r="N8" s="11">
        <v>-18286.88</v>
      </c>
      <c r="O8" s="59">
        <f t="shared" ref="O8:O36" si="2">J8+K8+L8+M8+N8</f>
        <v>18283561.370000001</v>
      </c>
      <c r="P8" s="58">
        <v>5996636.21</v>
      </c>
      <c r="R8" s="59"/>
      <c r="S8" s="61"/>
      <c r="T8" s="59">
        <f t="shared" si="0"/>
        <v>45566971.059999995</v>
      </c>
      <c r="U8" s="58"/>
      <c r="V8" s="59"/>
    </row>
    <row r="9" spans="1:30" x14ac:dyDescent="0.25">
      <c r="A9" s="15" t="s">
        <v>18</v>
      </c>
      <c r="B9" s="59">
        <v>12979220.529999999</v>
      </c>
      <c r="C9" s="10">
        <v>32721778.620000001</v>
      </c>
      <c r="D9" s="10">
        <v>-8704005</v>
      </c>
      <c r="E9" s="11">
        <v>-1811710.26</v>
      </c>
      <c r="F9" s="59">
        <f t="shared" si="1"/>
        <v>22206063.359999999</v>
      </c>
      <c r="G9" s="59"/>
      <c r="H9" s="59"/>
      <c r="I9" s="59">
        <v>1049310.48</v>
      </c>
      <c r="J9" s="2">
        <v>56759947.770000003</v>
      </c>
      <c r="K9" s="11">
        <v>-35244081.579999998</v>
      </c>
      <c r="L9" s="11">
        <v>-4767199.26</v>
      </c>
      <c r="M9" s="11">
        <v>-15077.16</v>
      </c>
      <c r="N9" s="11">
        <v>-18586.52</v>
      </c>
      <c r="O9" s="59">
        <f t="shared" si="2"/>
        <v>16715003.250000006</v>
      </c>
      <c r="P9" s="58">
        <v>6407896.21</v>
      </c>
      <c r="R9" s="59"/>
      <c r="S9" s="61"/>
      <c r="T9" s="59">
        <f t="shared" si="0"/>
        <v>59357493.830000006</v>
      </c>
      <c r="U9" s="58">
        <v>16995594</v>
      </c>
      <c r="V9" s="59">
        <f t="shared" ref="V9:V37" si="3">T9-U9</f>
        <v>42361899.830000006</v>
      </c>
    </row>
    <row r="10" spans="1:30" x14ac:dyDescent="0.25">
      <c r="A10" s="15" t="s">
        <v>19</v>
      </c>
      <c r="B10" s="59">
        <v>28139124</v>
      </c>
      <c r="C10" s="10">
        <v>33500000</v>
      </c>
      <c r="D10" s="10">
        <v>-8540172</v>
      </c>
      <c r="E10" s="11">
        <v>-3678193.8899999997</v>
      </c>
      <c r="F10" s="59">
        <f t="shared" si="1"/>
        <v>21281634.109999999</v>
      </c>
      <c r="G10" s="59">
        <v>25000000</v>
      </c>
      <c r="H10" s="59"/>
      <c r="I10" s="59">
        <v>811081</v>
      </c>
      <c r="J10" s="2">
        <v>52078610</v>
      </c>
      <c r="K10" s="11">
        <v>-31244727.803640634</v>
      </c>
      <c r="L10" s="11">
        <v>-5022542.0133030666</v>
      </c>
      <c r="M10" s="11">
        <v>-16128.019999999997</v>
      </c>
      <c r="N10" s="11">
        <v>-19881.98</v>
      </c>
      <c r="O10" s="59">
        <f t="shared" si="2"/>
        <v>15775330.183056299</v>
      </c>
      <c r="P10" s="58">
        <v>6400000</v>
      </c>
      <c r="R10" s="59"/>
      <c r="S10" s="61"/>
      <c r="T10" s="59">
        <f t="shared" si="0"/>
        <v>97407169.293056294</v>
      </c>
      <c r="U10" s="58">
        <f>1.02*U9</f>
        <v>17335505.879999999</v>
      </c>
      <c r="V10" s="59">
        <f t="shared" si="3"/>
        <v>80071663.413056299</v>
      </c>
    </row>
    <row r="11" spans="1:30" x14ac:dyDescent="0.25">
      <c r="A11" s="15" t="s">
        <v>20</v>
      </c>
      <c r="B11" s="59">
        <v>7033909.7000000002</v>
      </c>
      <c r="C11" s="10">
        <v>32500000</v>
      </c>
      <c r="D11" s="10">
        <v>-8585072.5</v>
      </c>
      <c r="E11" s="11">
        <v>-11653598.32</v>
      </c>
      <c r="F11" s="59">
        <f t="shared" si="1"/>
        <v>12261329.18</v>
      </c>
      <c r="G11" s="59">
        <v>100000000</v>
      </c>
      <c r="H11" s="60"/>
      <c r="I11" s="59">
        <v>999454.73</v>
      </c>
      <c r="J11" s="2">
        <v>53459080</v>
      </c>
      <c r="K11" s="11">
        <v>-31554991.742920801</v>
      </c>
      <c r="L11" s="11">
        <v>-4640730.3784685731</v>
      </c>
      <c r="M11" s="11">
        <v>-16773.139999999996</v>
      </c>
      <c r="N11" s="11">
        <v>-20677.259999999998</v>
      </c>
      <c r="O11" s="59">
        <f t="shared" si="2"/>
        <v>17225907.478610624</v>
      </c>
      <c r="P11" s="58">
        <f t="shared" ref="P11:P32" si="4">P10*1.022</f>
        <v>6540800</v>
      </c>
      <c r="R11" s="60">
        <v>5000000</v>
      </c>
      <c r="S11" s="61"/>
      <c r="T11" s="59">
        <f t="shared" si="0"/>
        <v>149061401.08861062</v>
      </c>
      <c r="U11" s="58">
        <f t="shared" ref="U11:U36" si="5">1.02*U10</f>
        <v>17682215.9976</v>
      </c>
      <c r="V11" s="59">
        <f t="shared" si="3"/>
        <v>131379185.09101062</v>
      </c>
    </row>
    <row r="12" spans="1:30" x14ac:dyDescent="0.25">
      <c r="A12" s="15" t="s">
        <v>21</v>
      </c>
      <c r="B12" s="59">
        <f>B11*1.02</f>
        <v>7174587.8940000003</v>
      </c>
      <c r="C12" s="10">
        <v>32500000</v>
      </c>
      <c r="D12" s="10">
        <v>-8584172.5</v>
      </c>
      <c r="E12" s="11">
        <v>-18378149.439999998</v>
      </c>
      <c r="F12" s="59">
        <f t="shared" si="1"/>
        <v>5537678.0600000024</v>
      </c>
      <c r="G12" s="59">
        <v>100000000</v>
      </c>
      <c r="H12" s="59"/>
      <c r="I12" s="59">
        <f t="shared" ref="I12:I37" si="6">I11*(1+$I$5)</f>
        <v>1019443.8246000001</v>
      </c>
      <c r="J12" s="2">
        <v>52050168</v>
      </c>
      <c r="K12" s="11">
        <v>-32417726.182200417</v>
      </c>
      <c r="L12" s="11">
        <v>-4742345.6671276717</v>
      </c>
      <c r="M12" s="11">
        <v>-17276.329999999994</v>
      </c>
      <c r="N12" s="11">
        <v>-21297.579999999998</v>
      </c>
      <c r="O12" s="59">
        <f t="shared" si="2"/>
        <v>14851522.24067191</v>
      </c>
      <c r="P12" s="58">
        <f t="shared" si="4"/>
        <v>6684697.6000000006</v>
      </c>
      <c r="R12" s="59"/>
      <c r="S12" s="61"/>
      <c r="T12" s="59">
        <f t="shared" si="0"/>
        <v>135267929.61927193</v>
      </c>
      <c r="U12" s="58">
        <f t="shared" si="5"/>
        <v>18035860.317552</v>
      </c>
      <c r="V12" s="59">
        <f t="shared" si="3"/>
        <v>117232069.30171993</v>
      </c>
    </row>
    <row r="13" spans="1:30" x14ac:dyDescent="0.25">
      <c r="A13" s="15" t="s">
        <v>22</v>
      </c>
      <c r="B13" s="59">
        <f t="shared" ref="B13:B37" si="7">B12*1.02</f>
        <v>7318079.6518800007</v>
      </c>
      <c r="C13" s="10">
        <v>32500000</v>
      </c>
      <c r="D13" s="10">
        <v>-8582522.5</v>
      </c>
      <c r="E13" s="11">
        <v>-18368918.020000003</v>
      </c>
      <c r="F13" s="59">
        <f t="shared" si="1"/>
        <v>5548559.4799999967</v>
      </c>
      <c r="G13" s="59"/>
      <c r="H13" s="59"/>
      <c r="I13" s="59">
        <f t="shared" si="6"/>
        <v>1039832.7010920001</v>
      </c>
      <c r="J13" s="2">
        <v>52062185</v>
      </c>
      <c r="K13" s="11">
        <v>-32359788.353570744</v>
      </c>
      <c r="L13" s="11">
        <v>-4867546.9123818092</v>
      </c>
      <c r="M13" s="11">
        <v>-17794.619999999995</v>
      </c>
      <c r="N13" s="11">
        <v>-21936.51</v>
      </c>
      <c r="O13" s="59">
        <f t="shared" si="2"/>
        <v>14795118.604047447</v>
      </c>
      <c r="P13" s="58">
        <f t="shared" si="4"/>
        <v>6831760.9472000003</v>
      </c>
      <c r="R13" s="59"/>
      <c r="S13" s="61"/>
      <c r="T13" s="59">
        <f t="shared" si="0"/>
        <v>35533351.384219445</v>
      </c>
      <c r="U13" s="58">
        <f t="shared" si="5"/>
        <v>18396577.523903042</v>
      </c>
      <c r="V13" s="59">
        <f t="shared" si="3"/>
        <v>17136773.860316403</v>
      </c>
    </row>
    <row r="14" spans="1:30" x14ac:dyDescent="0.25">
      <c r="A14" s="15" t="s">
        <v>23</v>
      </c>
      <c r="B14" s="59">
        <f t="shared" si="7"/>
        <v>7464441.2449176004</v>
      </c>
      <c r="C14" s="10">
        <v>32500000</v>
      </c>
      <c r="D14" s="10">
        <v>-8585122.5</v>
      </c>
      <c r="E14" s="11">
        <v>-18359432.660000004</v>
      </c>
      <c r="F14" s="59">
        <f t="shared" si="1"/>
        <v>5555444.8399999961</v>
      </c>
      <c r="G14" s="59"/>
      <c r="H14" s="59"/>
      <c r="I14" s="59">
        <f t="shared" si="6"/>
        <v>1060629.3551138402</v>
      </c>
      <c r="J14" s="2">
        <v>52320789</v>
      </c>
      <c r="K14" s="11">
        <v>-31297477</v>
      </c>
      <c r="L14" s="11">
        <v>-5032580</v>
      </c>
      <c r="M14" s="11">
        <v>-18535</v>
      </c>
      <c r="N14" s="11">
        <v>-22849</v>
      </c>
      <c r="O14" s="59">
        <f t="shared" si="2"/>
        <v>15949348</v>
      </c>
      <c r="P14" s="58">
        <f t="shared" si="4"/>
        <v>6982059.6880384004</v>
      </c>
      <c r="R14" s="59"/>
      <c r="S14" s="61"/>
      <c r="T14" s="59">
        <f t="shared" si="0"/>
        <v>37011923.12806984</v>
      </c>
      <c r="U14" s="58">
        <f t="shared" si="5"/>
        <v>18764509.074381102</v>
      </c>
      <c r="V14" s="59">
        <f t="shared" si="3"/>
        <v>18247414.053688738</v>
      </c>
    </row>
    <row r="15" spans="1:30" x14ac:dyDescent="0.25">
      <c r="A15" s="15" t="s">
        <v>24</v>
      </c>
      <c r="B15" s="59">
        <f t="shared" si="7"/>
        <v>7613730.0698159523</v>
      </c>
      <c r="C15" s="10">
        <v>32500000</v>
      </c>
      <c r="D15" s="10">
        <v>-8586922.5</v>
      </c>
      <c r="E15" s="11">
        <v>-25083222.420000002</v>
      </c>
      <c r="F15" s="59">
        <f t="shared" si="1"/>
        <v>-1170144.9200000018</v>
      </c>
      <c r="G15" s="59">
        <v>100000000</v>
      </c>
      <c r="H15" s="59"/>
      <c r="I15" s="59">
        <f t="shared" si="6"/>
        <v>1081841.9422161169</v>
      </c>
      <c r="J15" s="2">
        <v>51908663</v>
      </c>
      <c r="K15" s="11">
        <f>K14*(1+$K$5)</f>
        <v>-31986021.493999999</v>
      </c>
      <c r="L15" s="11">
        <f>L14*(1+$L$5)</f>
        <v>-5143296.76</v>
      </c>
      <c r="M15" s="11">
        <f>M14*(1+$M$5)</f>
        <v>-18942.77</v>
      </c>
      <c r="N15" s="11">
        <f>N14*(1+$N$5)</f>
        <v>-23351.678</v>
      </c>
      <c r="O15" s="59">
        <f t="shared" si="2"/>
        <v>14737050.298000002</v>
      </c>
      <c r="P15" s="58">
        <f t="shared" si="4"/>
        <v>7135665.0011752453</v>
      </c>
      <c r="R15" s="59"/>
      <c r="S15" s="61"/>
      <c r="T15" s="59">
        <f t="shared" si="0"/>
        <v>129398142.39120731</v>
      </c>
      <c r="U15" s="58">
        <f t="shared" si="5"/>
        <v>19139799.255868725</v>
      </c>
      <c r="V15" s="59">
        <f t="shared" si="3"/>
        <v>110258343.13533857</v>
      </c>
    </row>
    <row r="16" spans="1:30" x14ac:dyDescent="0.25">
      <c r="A16" s="15" t="s">
        <v>25</v>
      </c>
      <c r="B16" s="3">
        <f t="shared" si="7"/>
        <v>7766004.6712122718</v>
      </c>
      <c r="C16" s="10">
        <v>32500000</v>
      </c>
      <c r="D16" s="10">
        <v>-8583972.5</v>
      </c>
      <c r="E16" s="11">
        <v>-25073208.060000002</v>
      </c>
      <c r="F16" s="3">
        <f t="shared" si="1"/>
        <v>-1157180.5600000024</v>
      </c>
      <c r="G16" s="3"/>
      <c r="H16" s="3"/>
      <c r="I16" s="3">
        <f t="shared" si="6"/>
        <v>1103478.7810604393</v>
      </c>
      <c r="J16" s="2">
        <v>52056820</v>
      </c>
      <c r="K16" s="11">
        <f t="shared" ref="K16:K37" si="8">K15*(1+$K$5)</f>
        <v>-32689713.966867998</v>
      </c>
      <c r="L16" s="11">
        <f t="shared" ref="L16:L37" si="9">L15*(1+$L$5)</f>
        <v>-5256449.2887199996</v>
      </c>
      <c r="M16" s="11">
        <f t="shared" ref="M16:M37" si="10">M15*(1+$M$5)</f>
        <v>-19359.51094</v>
      </c>
      <c r="N16" s="11">
        <f t="shared" ref="N16:N37" si="11">N15*(1+$N$5)</f>
        <v>-23865.414916000002</v>
      </c>
      <c r="O16" s="3">
        <f t="shared" si="2"/>
        <v>14067431.818556001</v>
      </c>
      <c r="P16" s="2">
        <f t="shared" si="4"/>
        <v>7292649.6312011005</v>
      </c>
      <c r="R16" s="3"/>
      <c r="T16" s="3">
        <f t="shared" si="0"/>
        <v>29072384.34202981</v>
      </c>
      <c r="U16" s="2">
        <f t="shared" si="5"/>
        <v>19522595.240986101</v>
      </c>
      <c r="V16" s="3">
        <f t="shared" si="3"/>
        <v>9549789.1010437086</v>
      </c>
    </row>
    <row r="17" spans="1:22" x14ac:dyDescent="0.25">
      <c r="A17" s="15" t="s">
        <v>26</v>
      </c>
      <c r="B17" s="3">
        <f t="shared" si="7"/>
        <v>7921324.7646365175</v>
      </c>
      <c r="C17" s="10">
        <v>32500000</v>
      </c>
      <c r="D17" s="10">
        <v>-8585232.5</v>
      </c>
      <c r="E17" s="11">
        <v>-23251209.240000002</v>
      </c>
      <c r="F17" s="3">
        <f t="shared" si="1"/>
        <v>663558.25999999791</v>
      </c>
      <c r="G17" s="3"/>
      <c r="H17" s="3"/>
      <c r="I17" s="3">
        <f t="shared" si="6"/>
        <v>1125548.3566816482</v>
      </c>
      <c r="J17" s="2">
        <v>55628448</v>
      </c>
      <c r="K17" s="11">
        <f t="shared" si="8"/>
        <v>-33408887.674139094</v>
      </c>
      <c r="L17" s="11">
        <f t="shared" si="9"/>
        <v>-5372091.1730718398</v>
      </c>
      <c r="M17" s="11">
        <f t="shared" si="10"/>
        <v>-19785.420180680001</v>
      </c>
      <c r="N17" s="11">
        <f t="shared" si="11"/>
        <v>-24390.454044152</v>
      </c>
      <c r="O17" s="3">
        <f>J17+K17+L17+M17+N17</f>
        <v>16803293.278564237</v>
      </c>
      <c r="P17" s="2">
        <f t="shared" si="4"/>
        <v>7453087.9230875252</v>
      </c>
      <c r="R17" s="3"/>
      <c r="T17" s="3">
        <f t="shared" si="0"/>
        <v>33966812.582969926</v>
      </c>
      <c r="U17" s="2">
        <f t="shared" si="5"/>
        <v>19913047.145805825</v>
      </c>
      <c r="V17" s="3">
        <f t="shared" si="3"/>
        <v>14053765.437164102</v>
      </c>
    </row>
    <row r="18" spans="1:22" x14ac:dyDescent="0.25">
      <c r="A18" s="15" t="s">
        <v>27</v>
      </c>
      <c r="B18" s="3">
        <f t="shared" si="7"/>
        <v>8079751.2599292481</v>
      </c>
      <c r="C18" s="10">
        <v>32500000</v>
      </c>
      <c r="D18" s="10">
        <v>-8583000</v>
      </c>
      <c r="E18" s="11">
        <v>-23240637.039999999</v>
      </c>
      <c r="F18" s="3">
        <f t="shared" si="1"/>
        <v>676362.96000000089</v>
      </c>
      <c r="G18" s="3"/>
      <c r="H18" s="3"/>
      <c r="I18" s="3">
        <f t="shared" si="6"/>
        <v>1148059.3238152813</v>
      </c>
      <c r="J18" s="2">
        <v>56360804</v>
      </c>
      <c r="K18" s="11">
        <f t="shared" si="8"/>
        <v>-34143883.202970155</v>
      </c>
      <c r="L18" s="11">
        <f t="shared" si="9"/>
        <v>-5490277.1788794203</v>
      </c>
      <c r="M18" s="11">
        <f t="shared" si="10"/>
        <v>-20220.699424654962</v>
      </c>
      <c r="N18" s="11">
        <f t="shared" si="11"/>
        <v>-24927.044033123344</v>
      </c>
      <c r="O18" s="3">
        <f t="shared" si="2"/>
        <v>16681495.874692647</v>
      </c>
      <c r="P18" s="2">
        <f t="shared" si="4"/>
        <v>7617055.8573954506</v>
      </c>
      <c r="R18" s="3"/>
      <c r="T18" s="3">
        <f t="shared" si="0"/>
        <v>34202725.275832623</v>
      </c>
      <c r="U18" s="2">
        <f t="shared" si="5"/>
        <v>20311308.088721942</v>
      </c>
      <c r="V18" s="3">
        <f t="shared" si="3"/>
        <v>13891417.187110681</v>
      </c>
    </row>
    <row r="19" spans="1:22" x14ac:dyDescent="0.25">
      <c r="A19" s="15" t="s">
        <v>28</v>
      </c>
      <c r="B19" s="3">
        <f t="shared" si="7"/>
        <v>8241346.2851278335</v>
      </c>
      <c r="C19" s="10">
        <v>32500000</v>
      </c>
      <c r="D19" s="10">
        <v>-8580000</v>
      </c>
      <c r="E19" s="11">
        <v>-23229774.140000001</v>
      </c>
      <c r="F19" s="3">
        <f t="shared" si="1"/>
        <v>690225.8599999994</v>
      </c>
      <c r="G19" s="3"/>
      <c r="H19" s="3"/>
      <c r="I19" s="3">
        <f t="shared" si="6"/>
        <v>1171020.5102915869</v>
      </c>
      <c r="J19" s="2">
        <v>56980585</v>
      </c>
      <c r="K19" s="11">
        <f t="shared" si="8"/>
        <v>-34895048.633435495</v>
      </c>
      <c r="L19" s="11">
        <f t="shared" si="9"/>
        <v>-5611063.2768147681</v>
      </c>
      <c r="M19" s="11">
        <f t="shared" si="10"/>
        <v>-20665.554811997372</v>
      </c>
      <c r="N19" s="11">
        <f t="shared" si="11"/>
        <v>-25475.439001852057</v>
      </c>
      <c r="O19" s="3">
        <f>J17+K19+L19+M19+N19</f>
        <v>15076195.095935887</v>
      </c>
      <c r="P19" s="2">
        <f t="shared" si="4"/>
        <v>7784631.0862581506</v>
      </c>
      <c r="R19" s="3"/>
      <c r="T19" s="3">
        <f t="shared" si="0"/>
        <v>32963418.83761346</v>
      </c>
      <c r="U19" s="2">
        <f t="shared" si="5"/>
        <v>20717534.25049638</v>
      </c>
      <c r="V19" s="3">
        <f t="shared" si="3"/>
        <v>12245884.58711708</v>
      </c>
    </row>
    <row r="20" spans="1:22" x14ac:dyDescent="0.25">
      <c r="A20" s="15" t="s">
        <v>29</v>
      </c>
      <c r="B20" s="3">
        <f t="shared" si="7"/>
        <v>8406173.2108303905</v>
      </c>
      <c r="C20" s="10">
        <v>32500000</v>
      </c>
      <c r="D20" s="10">
        <v>-8585200</v>
      </c>
      <c r="E20" s="11">
        <v>-20200603.68</v>
      </c>
      <c r="F20" s="3">
        <f t="shared" si="1"/>
        <v>3714196.3200000003</v>
      </c>
      <c r="G20" s="3"/>
      <c r="H20" s="3"/>
      <c r="I20" s="3">
        <f t="shared" si="6"/>
        <v>1194440.9204974186</v>
      </c>
      <c r="J20" s="2">
        <f>J19*(1+$J$5)</f>
        <v>58234157.870000005</v>
      </c>
      <c r="K20" s="11">
        <f t="shared" si="8"/>
        <v>-35662739.703371078</v>
      </c>
      <c r="L20" s="11">
        <f t="shared" si="9"/>
        <v>-5734506.6689046929</v>
      </c>
      <c r="M20" s="11">
        <f t="shared" si="10"/>
        <v>-21120.197017861316</v>
      </c>
      <c r="N20" s="11">
        <f t="shared" si="11"/>
        <v>-26035.898659892802</v>
      </c>
      <c r="O20" s="3">
        <f t="shared" si="2"/>
        <v>16789755.402046483</v>
      </c>
      <c r="P20" s="2">
        <f t="shared" si="4"/>
        <v>7955892.9701558305</v>
      </c>
      <c r="R20" s="3"/>
      <c r="T20" s="3">
        <f t="shared" si="0"/>
        <v>38060458.823530123</v>
      </c>
      <c r="U20" s="2">
        <f t="shared" si="5"/>
        <v>21131884.935506307</v>
      </c>
      <c r="V20" s="3">
        <f t="shared" si="3"/>
        <v>16928573.888023816</v>
      </c>
    </row>
    <row r="21" spans="1:22" x14ac:dyDescent="0.25">
      <c r="A21" s="15" t="s">
        <v>30</v>
      </c>
      <c r="B21" s="3">
        <f t="shared" si="7"/>
        <v>8574296.675046999</v>
      </c>
      <c r="C21" s="10">
        <v>32500000</v>
      </c>
      <c r="D21" s="10"/>
      <c r="E21" s="11">
        <v>-20200603.68</v>
      </c>
      <c r="F21" s="3">
        <f t="shared" si="1"/>
        <v>12299396.32</v>
      </c>
      <c r="G21" s="3"/>
      <c r="H21" s="3"/>
      <c r="I21" s="3">
        <f t="shared" si="6"/>
        <v>1218329.738907367</v>
      </c>
      <c r="J21" s="2">
        <f>J20*(1+$J$5)</f>
        <v>59515309.343140006</v>
      </c>
      <c r="K21" s="11">
        <f t="shared" si="8"/>
        <v>-36447319.976845242</v>
      </c>
      <c r="L21" s="11">
        <f t="shared" si="9"/>
        <v>-5860665.8156205965</v>
      </c>
      <c r="M21" s="11">
        <f t="shared" si="10"/>
        <v>-21584.841352254265</v>
      </c>
      <c r="N21" s="11">
        <f t="shared" si="11"/>
        <v>-26608.688430410446</v>
      </c>
      <c r="O21" s="3">
        <f t="shared" si="2"/>
        <v>17159130.020891502</v>
      </c>
      <c r="P21" s="2">
        <f t="shared" si="4"/>
        <v>8130922.615499259</v>
      </c>
      <c r="R21" s="3"/>
      <c r="T21" s="3">
        <f t="shared" si="0"/>
        <v>47382075.370345131</v>
      </c>
      <c r="U21" s="2">
        <f t="shared" si="5"/>
        <v>21554522.634216432</v>
      </c>
      <c r="V21" s="3">
        <f t="shared" si="3"/>
        <v>25827552.736128699</v>
      </c>
    </row>
    <row r="22" spans="1:22" x14ac:dyDescent="0.25">
      <c r="A22" s="15" t="s">
        <v>31</v>
      </c>
      <c r="B22" s="3">
        <f t="shared" si="7"/>
        <v>8745782.608547939</v>
      </c>
      <c r="C22" s="10">
        <v>32500000</v>
      </c>
      <c r="D22" s="10"/>
      <c r="E22" s="11">
        <v>-20200603.68</v>
      </c>
      <c r="F22" s="3">
        <f t="shared" si="1"/>
        <v>12299396.32</v>
      </c>
      <c r="G22" s="3"/>
      <c r="H22" s="3"/>
      <c r="I22" s="3">
        <f t="shared" si="6"/>
        <v>1242696.3336855143</v>
      </c>
      <c r="J22" s="2">
        <f t="shared" ref="J22:J29" si="12">J21*(1+$J$5)</f>
        <v>60824646.148689084</v>
      </c>
      <c r="K22" s="11">
        <f t="shared" si="8"/>
        <v>-37249161.016335838</v>
      </c>
      <c r="L22" s="11">
        <f t="shared" si="9"/>
        <v>-5989600.4635642497</v>
      </c>
      <c r="M22" s="11">
        <f t="shared" si="10"/>
        <v>-22059.707862003859</v>
      </c>
      <c r="N22" s="11">
        <f t="shared" si="11"/>
        <v>-27194.079575879477</v>
      </c>
      <c r="O22" s="3">
        <f t="shared" si="2"/>
        <v>17536630.881351113</v>
      </c>
      <c r="P22" s="2">
        <f t="shared" si="4"/>
        <v>8309802.9130402431</v>
      </c>
      <c r="R22" s="3"/>
      <c r="T22" s="3">
        <f t="shared" si="0"/>
        <v>48134309.056624815</v>
      </c>
      <c r="U22" s="2">
        <f t="shared" si="5"/>
        <v>21985613.086900759</v>
      </c>
      <c r="V22" s="3">
        <f t="shared" si="3"/>
        <v>26148695.969724055</v>
      </c>
    </row>
    <row r="23" spans="1:22" x14ac:dyDescent="0.25">
      <c r="A23" s="15" t="s">
        <v>32</v>
      </c>
      <c r="B23" s="3">
        <f t="shared" si="7"/>
        <v>8920698.2607188988</v>
      </c>
      <c r="C23" s="10">
        <v>32500000</v>
      </c>
      <c r="D23" s="10"/>
      <c r="E23" s="11">
        <v>-20200603.68</v>
      </c>
      <c r="F23" s="3">
        <f t="shared" si="1"/>
        <v>12299396.32</v>
      </c>
      <c r="G23" s="3"/>
      <c r="H23" s="3"/>
      <c r="I23" s="3">
        <f t="shared" si="6"/>
        <v>1267550.2603592246</v>
      </c>
      <c r="J23" s="2">
        <f t="shared" si="12"/>
        <v>62162788.363960244</v>
      </c>
      <c r="K23" s="11">
        <f t="shared" si="8"/>
        <v>-38068642.558695227</v>
      </c>
      <c r="L23" s="11">
        <f t="shared" si="9"/>
        <v>-6121371.6737626633</v>
      </c>
      <c r="M23" s="11">
        <f t="shared" si="10"/>
        <v>-22545.021434967945</v>
      </c>
      <c r="N23" s="11">
        <f t="shared" si="11"/>
        <v>-27792.349326548825</v>
      </c>
      <c r="O23" s="3">
        <f t="shared" si="2"/>
        <v>17922436.760740839</v>
      </c>
      <c r="P23" s="2">
        <f t="shared" si="4"/>
        <v>8492618.5771271288</v>
      </c>
      <c r="R23" s="3"/>
      <c r="T23" s="3">
        <f t="shared" si="0"/>
        <v>48902700.178946093</v>
      </c>
      <c r="U23" s="2">
        <f t="shared" si="5"/>
        <v>22425325.348638777</v>
      </c>
      <c r="V23" s="3">
        <f t="shared" si="3"/>
        <v>26477374.830307316</v>
      </c>
    </row>
    <row r="24" spans="1:22" x14ac:dyDescent="0.25">
      <c r="A24" s="15" t="s">
        <v>33</v>
      </c>
      <c r="B24" s="3">
        <f t="shared" si="7"/>
        <v>9099112.2259332761</v>
      </c>
      <c r="C24" s="10">
        <v>32500000</v>
      </c>
      <c r="D24" s="10"/>
      <c r="E24" s="11">
        <v>-20200603.68</v>
      </c>
      <c r="F24" s="3">
        <f t="shared" si="1"/>
        <v>12299396.32</v>
      </c>
      <c r="G24" s="3"/>
      <c r="H24" s="3"/>
      <c r="I24" s="3">
        <f t="shared" si="6"/>
        <v>1292901.2655664091</v>
      </c>
      <c r="J24" s="2">
        <f t="shared" si="12"/>
        <v>63530369.707967371</v>
      </c>
      <c r="K24" s="11">
        <f t="shared" si="8"/>
        <v>-38906152.694986522</v>
      </c>
      <c r="L24" s="11">
        <f t="shared" si="9"/>
        <v>-6256041.850585442</v>
      </c>
      <c r="M24" s="11">
        <f t="shared" si="10"/>
        <v>-23041.011906537238</v>
      </c>
      <c r="N24" s="11">
        <f t="shared" si="11"/>
        <v>-28403.781011732899</v>
      </c>
      <c r="O24" s="3">
        <f t="shared" si="2"/>
        <v>18316730.369477134</v>
      </c>
      <c r="P24" s="2">
        <f t="shared" si="4"/>
        <v>8679456.1858239267</v>
      </c>
      <c r="R24" s="3"/>
      <c r="T24" s="3">
        <f t="shared" si="0"/>
        <v>49687596.366800748</v>
      </c>
      <c r="U24" s="2">
        <f t="shared" si="5"/>
        <v>22873831.855611552</v>
      </c>
      <c r="V24" s="3">
        <f t="shared" si="3"/>
        <v>26813764.511189196</v>
      </c>
    </row>
    <row r="25" spans="1:22" x14ac:dyDescent="0.25">
      <c r="A25" s="15" t="s">
        <v>34</v>
      </c>
      <c r="B25" s="3">
        <f t="shared" si="7"/>
        <v>9281094.4704519417</v>
      </c>
      <c r="C25" s="10">
        <v>32500000</v>
      </c>
      <c r="D25" s="10"/>
      <c r="E25" s="11">
        <v>-20200603.68</v>
      </c>
      <c r="F25" s="3">
        <f>C25+D25+E25</f>
        <v>12299396.32</v>
      </c>
      <c r="G25" s="3"/>
      <c r="H25" s="3"/>
      <c r="I25" s="3">
        <f t="shared" si="6"/>
        <v>1318759.2908777373</v>
      </c>
      <c r="J25" s="2">
        <f t="shared" si="12"/>
        <v>64928037.841542654</v>
      </c>
      <c r="K25" s="11">
        <f t="shared" si="8"/>
        <v>-39762088.054276228</v>
      </c>
      <c r="L25" s="11">
        <f t="shared" si="9"/>
        <v>-6393674.7712983219</v>
      </c>
      <c r="M25" s="11">
        <f t="shared" si="10"/>
        <v>-23547.914168481057</v>
      </c>
      <c r="N25" s="11">
        <f t="shared" si="11"/>
        <v>-29028.664193991022</v>
      </c>
      <c r="O25" s="3">
        <f t="shared" si="2"/>
        <v>18719698.437605631</v>
      </c>
      <c r="P25" s="2">
        <f t="shared" si="4"/>
        <v>8870404.2219120525</v>
      </c>
      <c r="R25" s="3"/>
      <c r="T25" s="3">
        <f t="shared" si="0"/>
        <v>50489352.740847364</v>
      </c>
      <c r="U25" s="2">
        <f t="shared" si="5"/>
        <v>23331308.492723782</v>
      </c>
      <c r="V25" s="3">
        <f t="shared" si="3"/>
        <v>27158044.248123582</v>
      </c>
    </row>
    <row r="26" spans="1:22" x14ac:dyDescent="0.25">
      <c r="A26" s="15" t="s">
        <v>35</v>
      </c>
      <c r="B26" s="3">
        <f t="shared" si="7"/>
        <v>9466716.3598609809</v>
      </c>
      <c r="C26" s="10">
        <v>32500000</v>
      </c>
      <c r="D26" s="10"/>
      <c r="E26" s="11">
        <v>-20200603.68</v>
      </c>
      <c r="F26" s="3">
        <f t="shared" si="1"/>
        <v>12299396.32</v>
      </c>
      <c r="G26" s="3"/>
      <c r="H26" s="3"/>
      <c r="I26" s="3">
        <f t="shared" si="6"/>
        <v>1345134.4766952922</v>
      </c>
      <c r="J26" s="2">
        <f t="shared" si="12"/>
        <v>66356454.674056597</v>
      </c>
      <c r="K26" s="11">
        <f t="shared" si="8"/>
        <v>-40636853.991470307</v>
      </c>
      <c r="L26" s="11">
        <f t="shared" si="9"/>
        <v>-6534335.6162668848</v>
      </c>
      <c r="M26" s="11">
        <f t="shared" si="10"/>
        <v>-24065.968280187641</v>
      </c>
      <c r="N26" s="11">
        <f t="shared" si="11"/>
        <v>-29667.294806258826</v>
      </c>
      <c r="O26" s="3">
        <f t="shared" si="2"/>
        <v>19131531.803232957</v>
      </c>
      <c r="P26" s="2">
        <f t="shared" si="4"/>
        <v>9065553.1147941183</v>
      </c>
      <c r="R26" s="3"/>
      <c r="T26" s="3">
        <f t="shared" si="0"/>
        <v>51308332.074583344</v>
      </c>
      <c r="U26" s="2">
        <f t="shared" si="5"/>
        <v>23797934.662578259</v>
      </c>
      <c r="V26" s="3">
        <f t="shared" si="3"/>
        <v>27510397.412005085</v>
      </c>
    </row>
    <row r="27" spans="1:22" x14ac:dyDescent="0.25">
      <c r="A27" s="15" t="s">
        <v>36</v>
      </c>
      <c r="B27" s="3">
        <f t="shared" si="7"/>
        <v>9656050.6870582011</v>
      </c>
      <c r="C27" s="10">
        <v>32500000</v>
      </c>
      <c r="D27" s="10"/>
      <c r="E27" s="11">
        <v>-20200603.68</v>
      </c>
      <c r="F27" s="3">
        <f t="shared" si="1"/>
        <v>12299396.32</v>
      </c>
      <c r="G27" s="3"/>
      <c r="H27" s="3"/>
      <c r="I27" s="3">
        <f t="shared" si="6"/>
        <v>1372037.166229198</v>
      </c>
      <c r="J27" s="2">
        <f t="shared" si="12"/>
        <v>67816296.676885843</v>
      </c>
      <c r="K27" s="11">
        <f t="shared" si="8"/>
        <v>-41530864.779282652</v>
      </c>
      <c r="L27" s="11">
        <f t="shared" si="9"/>
        <v>-6678090.9998247568</v>
      </c>
      <c r="M27" s="11">
        <f t="shared" si="10"/>
        <v>-24595.419582351769</v>
      </c>
      <c r="N27" s="11">
        <f t="shared" si="11"/>
        <v>-30319.975291996521</v>
      </c>
      <c r="O27" s="3">
        <f t="shared" si="2"/>
        <v>19552425.502904087</v>
      </c>
      <c r="P27" s="2">
        <f t="shared" si="4"/>
        <v>9264995.2833195888</v>
      </c>
      <c r="R27" s="3"/>
      <c r="T27" s="3">
        <f t="shared" si="0"/>
        <v>52144904.959511071</v>
      </c>
      <c r="U27" s="2">
        <f t="shared" si="5"/>
        <v>24273893.355829824</v>
      </c>
      <c r="V27" s="3">
        <f t="shared" si="3"/>
        <v>27871011.603681248</v>
      </c>
    </row>
    <row r="28" spans="1:22" x14ac:dyDescent="0.25">
      <c r="A28" s="15" t="s">
        <v>37</v>
      </c>
      <c r="B28" s="3">
        <f t="shared" si="7"/>
        <v>9849171.7007993646</v>
      </c>
      <c r="C28" s="10">
        <v>32500000</v>
      </c>
      <c r="D28" s="10"/>
      <c r="E28" s="11">
        <v>-20200603.68</v>
      </c>
      <c r="F28" s="3">
        <f t="shared" si="1"/>
        <v>12299396.32</v>
      </c>
      <c r="G28" s="3"/>
      <c r="H28" s="3"/>
      <c r="I28" s="3">
        <f t="shared" si="6"/>
        <v>1399477.9095537821</v>
      </c>
      <c r="J28" s="2">
        <f t="shared" si="12"/>
        <v>69308255.203777328</v>
      </c>
      <c r="K28" s="11">
        <f t="shared" si="8"/>
        <v>-42444543.804426871</v>
      </c>
      <c r="L28" s="11">
        <f t="shared" si="9"/>
        <v>-6825009.0018209014</v>
      </c>
      <c r="M28" s="11">
        <f t="shared" si="10"/>
        <v>-25136.518813163508</v>
      </c>
      <c r="N28" s="11">
        <f t="shared" si="11"/>
        <v>-30987.014748420446</v>
      </c>
      <c r="O28" s="3">
        <f t="shared" si="2"/>
        <v>19982578.863967974</v>
      </c>
      <c r="P28" s="2">
        <f t="shared" si="4"/>
        <v>9468825.1795526203</v>
      </c>
      <c r="R28" s="3"/>
      <c r="T28" s="3">
        <f t="shared" si="0"/>
        <v>52999449.973873734</v>
      </c>
      <c r="U28" s="2">
        <f t="shared" si="5"/>
        <v>24759371.22294642</v>
      </c>
      <c r="V28" s="3">
        <f t="shared" si="3"/>
        <v>28240078.750927314</v>
      </c>
    </row>
    <row r="29" spans="1:22" x14ac:dyDescent="0.25">
      <c r="A29" s="15" t="s">
        <v>38</v>
      </c>
      <c r="B29" s="3">
        <f t="shared" si="7"/>
        <v>10046155.134815352</v>
      </c>
      <c r="C29" s="10">
        <v>32500000</v>
      </c>
      <c r="D29" s="10"/>
      <c r="E29" s="11">
        <v>-20200603.68</v>
      </c>
      <c r="F29" s="3">
        <f t="shared" si="1"/>
        <v>12299396.32</v>
      </c>
      <c r="G29" s="3"/>
      <c r="H29" s="3"/>
      <c r="I29" s="3">
        <f t="shared" si="6"/>
        <v>1427467.4677448578</v>
      </c>
      <c r="J29" s="2">
        <f t="shared" si="12"/>
        <v>70833036.818260431</v>
      </c>
      <c r="K29" s="11">
        <f t="shared" si="8"/>
        <v>-43378323.76812426</v>
      </c>
      <c r="L29" s="11">
        <f t="shared" si="9"/>
        <v>-6975159.1998609612</v>
      </c>
      <c r="M29" s="11">
        <f t="shared" si="10"/>
        <v>-25689.522227053105</v>
      </c>
      <c r="N29" s="11">
        <f t="shared" si="11"/>
        <v>-31668.729072885697</v>
      </c>
      <c r="O29" s="3">
        <f t="shared" si="2"/>
        <v>20422195.598975271</v>
      </c>
      <c r="P29" s="2">
        <f t="shared" si="4"/>
        <v>9677139.3335027788</v>
      </c>
      <c r="R29" s="3"/>
      <c r="T29" s="3">
        <f t="shared" si="0"/>
        <v>53872353.855038255</v>
      </c>
      <c r="U29" s="2">
        <f t="shared" si="5"/>
        <v>25254558.647405349</v>
      </c>
      <c r="V29" s="3">
        <f t="shared" si="3"/>
        <v>28617795.207632907</v>
      </c>
    </row>
    <row r="30" spans="1:22" x14ac:dyDescent="0.25">
      <c r="A30" s="15" t="s">
        <v>39</v>
      </c>
      <c r="B30" s="3">
        <f t="shared" si="7"/>
        <v>10247078.237511659</v>
      </c>
      <c r="C30" s="10">
        <v>32500000</v>
      </c>
      <c r="D30" s="10"/>
      <c r="E30" s="11">
        <v>-20200603.68</v>
      </c>
      <c r="F30" s="3">
        <f t="shared" si="1"/>
        <v>12299396.32</v>
      </c>
      <c r="G30" s="3"/>
      <c r="H30" s="3"/>
      <c r="I30" s="3">
        <f t="shared" si="6"/>
        <v>1456016.8170997549</v>
      </c>
      <c r="J30" s="2">
        <f>J29*(1+$J$5)</f>
        <v>72391363.628262162</v>
      </c>
      <c r="K30" s="11">
        <f t="shared" si="8"/>
        <v>-44332646.891022995</v>
      </c>
      <c r="L30" s="11">
        <f t="shared" si="9"/>
        <v>-7128612.7022579024</v>
      </c>
      <c r="M30" s="11">
        <f t="shared" si="10"/>
        <v>-26254.691716048274</v>
      </c>
      <c r="N30" s="11">
        <f t="shared" si="11"/>
        <v>-32365.441112489181</v>
      </c>
      <c r="O30" s="3">
        <f t="shared" si="2"/>
        <v>20871483.902152728</v>
      </c>
      <c r="P30" s="2">
        <f t="shared" si="4"/>
        <v>9890036.3988398407</v>
      </c>
      <c r="R30" s="3"/>
      <c r="T30" s="3">
        <f t="shared" si="0"/>
        <v>54764011.675603986</v>
      </c>
      <c r="U30" s="2">
        <f t="shared" si="5"/>
        <v>25759649.820353456</v>
      </c>
      <c r="V30" s="3">
        <f t="shared" si="3"/>
        <v>29004361.85525053</v>
      </c>
    </row>
    <row r="31" spans="1:22" x14ac:dyDescent="0.25">
      <c r="A31" s="15" t="s">
        <v>40</v>
      </c>
      <c r="B31" s="3">
        <f t="shared" si="7"/>
        <v>10452019.802261893</v>
      </c>
      <c r="C31" s="10">
        <v>32500000</v>
      </c>
      <c r="D31" s="10"/>
      <c r="E31" s="11">
        <v>-13467069.120000001</v>
      </c>
      <c r="F31" s="3">
        <f t="shared" si="1"/>
        <v>19032930.879999999</v>
      </c>
      <c r="G31" s="3"/>
      <c r="H31" s="3"/>
      <c r="I31" s="3">
        <f t="shared" si="6"/>
        <v>1485137.15344175</v>
      </c>
      <c r="J31" s="2">
        <f>J30*(1+$J$5)</f>
        <v>73983973.628083929</v>
      </c>
      <c r="K31" s="11">
        <f t="shared" si="8"/>
        <v>-45307965.1226255</v>
      </c>
      <c r="L31" s="11">
        <f t="shared" si="9"/>
        <v>-7285442.1817075759</v>
      </c>
      <c r="M31" s="11">
        <f t="shared" si="10"/>
        <v>-26832.294933801335</v>
      </c>
      <c r="N31" s="11">
        <f t="shared" si="11"/>
        <v>-33077.480816963944</v>
      </c>
      <c r="O31" s="3">
        <f t="shared" si="2"/>
        <v>21330656.54800009</v>
      </c>
      <c r="P31" s="2">
        <f t="shared" si="4"/>
        <v>10107617.199614318</v>
      </c>
      <c r="R31" s="3"/>
      <c r="T31" s="3">
        <f t="shared" si="0"/>
        <v>62408361.583318047</v>
      </c>
      <c r="U31" s="2">
        <f t="shared" si="5"/>
        <v>26274842.816760525</v>
      </c>
      <c r="V31" s="3">
        <f t="shared" si="3"/>
        <v>36133518.766557522</v>
      </c>
    </row>
    <row r="32" spans="1:22" x14ac:dyDescent="0.25">
      <c r="A32" s="15" t="s">
        <v>41</v>
      </c>
      <c r="B32" s="3">
        <f t="shared" si="7"/>
        <v>10661060.19830713</v>
      </c>
      <c r="C32" s="10">
        <v>32500000</v>
      </c>
      <c r="D32" s="10"/>
      <c r="E32" s="11">
        <v>-6733534.5600000005</v>
      </c>
      <c r="F32" s="3">
        <f>C32+D32+E32</f>
        <v>25766465.439999998</v>
      </c>
      <c r="G32" s="3"/>
      <c r="H32" s="3"/>
      <c r="I32" s="3">
        <f t="shared" si="6"/>
        <v>1514839.896510585</v>
      </c>
      <c r="J32" s="2">
        <f t="shared" ref="J32:J37" si="13">J31*(1+$J$5)</f>
        <v>75611621.047901779</v>
      </c>
      <c r="K32" s="11">
        <f t="shared" si="8"/>
        <v>-46304740.355323263</v>
      </c>
      <c r="L32" s="11">
        <f t="shared" si="9"/>
        <v>-7445721.9097051425</v>
      </c>
      <c r="M32" s="11">
        <f t="shared" si="10"/>
        <v>-27422.605422344965</v>
      </c>
      <c r="N32" s="11">
        <f t="shared" si="11"/>
        <v>-33805.185394937151</v>
      </c>
      <c r="O32" s="3">
        <f t="shared" si="2"/>
        <v>21799930.992056094</v>
      </c>
      <c r="P32" s="2">
        <f t="shared" si="4"/>
        <v>10329984.778005833</v>
      </c>
      <c r="R32" s="3"/>
      <c r="T32" s="3">
        <f t="shared" si="0"/>
        <v>70072281.304879636</v>
      </c>
      <c r="U32" s="2">
        <f t="shared" si="5"/>
        <v>26800339.673095737</v>
      </c>
      <c r="V32" s="3">
        <f t="shared" si="3"/>
        <v>43271941.631783903</v>
      </c>
    </row>
    <row r="33" spans="1:34" x14ac:dyDescent="0.25">
      <c r="A33" s="42" t="s">
        <v>42</v>
      </c>
      <c r="B33" s="23">
        <f t="shared" si="7"/>
        <v>10874281.402273273</v>
      </c>
      <c r="C33" s="25">
        <v>32500000</v>
      </c>
      <c r="D33" s="25"/>
      <c r="E33" s="25"/>
      <c r="F33" s="23"/>
      <c r="G33" s="23"/>
      <c r="H33" s="23"/>
      <c r="I33" s="23">
        <f t="shared" si="6"/>
        <v>1545136.6944407967</v>
      </c>
      <c r="J33" s="22">
        <f t="shared" si="13"/>
        <v>77275076.71095562</v>
      </c>
      <c r="K33" s="24">
        <f t="shared" si="8"/>
        <v>-47323444.643140376</v>
      </c>
      <c r="L33" s="24">
        <f t="shared" si="9"/>
        <v>-7609527.7917186562</v>
      </c>
      <c r="M33" s="24">
        <f t="shared" si="10"/>
        <v>-28025.902741636553</v>
      </c>
      <c r="N33" s="24">
        <f t="shared" si="11"/>
        <v>-34548.899473625766</v>
      </c>
      <c r="O33" s="23">
        <f t="shared" si="2"/>
        <v>22279529.473881327</v>
      </c>
      <c r="P33" s="23">
        <f t="shared" ref="P33:P36" si="14">P32*1.022</f>
        <v>10557244.443121962</v>
      </c>
      <c r="R33" s="23"/>
      <c r="T33" s="23">
        <f t="shared" si="0"/>
        <v>45256192.013717361</v>
      </c>
      <c r="U33" s="22">
        <f t="shared" si="5"/>
        <v>27336346.466557652</v>
      </c>
      <c r="V33" s="23">
        <f t="shared" si="3"/>
        <v>17919845.547159709</v>
      </c>
      <c r="W33" s="74"/>
    </row>
    <row r="34" spans="1:34" x14ac:dyDescent="0.25">
      <c r="A34" s="42" t="s">
        <v>43</v>
      </c>
      <c r="B34" s="23">
        <f t="shared" si="7"/>
        <v>11091767.030318739</v>
      </c>
      <c r="C34" s="25">
        <v>32500000</v>
      </c>
      <c r="D34" s="25"/>
      <c r="E34" s="25"/>
      <c r="F34" s="23"/>
      <c r="G34" s="23"/>
      <c r="H34" s="23"/>
      <c r="I34" s="23">
        <f t="shared" si="6"/>
        <v>1576039.4283296126</v>
      </c>
      <c r="J34" s="22">
        <f t="shared" si="13"/>
        <v>78975128.398596644</v>
      </c>
      <c r="K34" s="24">
        <f t="shared" si="8"/>
        <v>-48364560.425289467</v>
      </c>
      <c r="L34" s="24">
        <f t="shared" si="9"/>
        <v>-7776937.4031364666</v>
      </c>
      <c r="M34" s="24">
        <f t="shared" si="10"/>
        <v>-28642.472601952559</v>
      </c>
      <c r="N34" s="24">
        <f t="shared" si="11"/>
        <v>-35308.975262045533</v>
      </c>
      <c r="O34" s="23">
        <f t="shared" si="2"/>
        <v>22769679.122306712</v>
      </c>
      <c r="P34" s="23">
        <f t="shared" si="14"/>
        <v>10789503.820870645</v>
      </c>
      <c r="R34" s="23"/>
      <c r="T34" s="23">
        <f t="shared" si="0"/>
        <v>46226989.401825704</v>
      </c>
      <c r="U34" s="22">
        <f t="shared" si="5"/>
        <v>27883073.395888805</v>
      </c>
      <c r="V34" s="23">
        <f t="shared" si="3"/>
        <v>18343916.005936898</v>
      </c>
      <c r="W34" s="74"/>
    </row>
    <row r="35" spans="1:34" x14ac:dyDescent="0.25">
      <c r="A35" s="42" t="s">
        <v>44</v>
      </c>
      <c r="B35" s="23">
        <f t="shared" si="7"/>
        <v>11313602.370925114</v>
      </c>
      <c r="C35" s="25">
        <v>32500000</v>
      </c>
      <c r="D35" s="25"/>
      <c r="E35" s="25"/>
      <c r="F35" s="23"/>
      <c r="G35" s="23"/>
      <c r="H35" s="23"/>
      <c r="I35" s="23">
        <f t="shared" si="6"/>
        <v>1607560.216896205</v>
      </c>
      <c r="J35" s="22">
        <f t="shared" si="13"/>
        <v>80712581.223365769</v>
      </c>
      <c r="K35" s="24">
        <f t="shared" si="8"/>
        <v>-49428580.754645839</v>
      </c>
      <c r="L35" s="24">
        <f t="shared" si="9"/>
        <v>-7948030.0260054693</v>
      </c>
      <c r="M35" s="24">
        <f t="shared" si="10"/>
        <v>-29272.606999195516</v>
      </c>
      <c r="N35" s="24">
        <f t="shared" si="11"/>
        <v>-36085.772717810534</v>
      </c>
      <c r="O35" s="23">
        <f t="shared" si="2"/>
        <v>23270612.062997453</v>
      </c>
      <c r="P35" s="23">
        <f t="shared" si="14"/>
        <v>11026872.9049298</v>
      </c>
      <c r="R35" s="23"/>
      <c r="T35" s="23">
        <f t="shared" si="0"/>
        <v>47218647.555748574</v>
      </c>
      <c r="U35" s="22">
        <f t="shared" si="5"/>
        <v>28440734.863806583</v>
      </c>
      <c r="V35" s="23">
        <f t="shared" si="3"/>
        <v>18777912.691941991</v>
      </c>
      <c r="W35" s="74"/>
    </row>
    <row r="36" spans="1:34" x14ac:dyDescent="0.25">
      <c r="A36" s="42" t="s">
        <v>45</v>
      </c>
      <c r="B36" s="23">
        <f t="shared" si="7"/>
        <v>11539874.418343617</v>
      </c>
      <c r="C36" s="25">
        <v>32500000</v>
      </c>
      <c r="D36" s="25"/>
      <c r="E36" s="25"/>
      <c r="F36" s="23"/>
      <c r="G36" s="23"/>
      <c r="H36" s="23"/>
      <c r="I36" s="23">
        <f t="shared" si="6"/>
        <v>1639711.421234129</v>
      </c>
      <c r="J36" s="22">
        <f t="shared" si="13"/>
        <v>82488258.010279819</v>
      </c>
      <c r="K36" s="24">
        <f t="shared" si="8"/>
        <v>-50516009.531248048</v>
      </c>
      <c r="L36" s="24">
        <f t="shared" si="9"/>
        <v>-8122886.6865775902</v>
      </c>
      <c r="M36" s="24">
        <f t="shared" si="10"/>
        <v>-29916.604353177816</v>
      </c>
      <c r="N36" s="24">
        <f t="shared" si="11"/>
        <v>-36879.659717602364</v>
      </c>
      <c r="O36" s="23">
        <f t="shared" si="2"/>
        <v>23782565.528383404</v>
      </c>
      <c r="P36" s="23">
        <f t="shared" si="14"/>
        <v>11269464.108838256</v>
      </c>
      <c r="R36" s="23"/>
      <c r="T36" s="23">
        <f t="shared" si="0"/>
        <v>48231615.476799414</v>
      </c>
      <c r="U36" s="22">
        <f t="shared" si="5"/>
        <v>29009549.561082713</v>
      </c>
      <c r="V36" s="23">
        <f t="shared" si="3"/>
        <v>19222065.9157167</v>
      </c>
      <c r="W36" s="74"/>
    </row>
    <row r="37" spans="1:34" x14ac:dyDescent="0.25">
      <c r="A37" s="42" t="s">
        <v>46</v>
      </c>
      <c r="B37" s="23">
        <f t="shared" si="7"/>
        <v>11770671.906710489</v>
      </c>
      <c r="C37" s="25">
        <v>32500000</v>
      </c>
      <c r="D37" s="25"/>
      <c r="E37" s="25"/>
      <c r="F37" s="25"/>
      <c r="G37" s="23"/>
      <c r="H37" s="23"/>
      <c r="I37" s="23">
        <f t="shared" si="6"/>
        <v>1672505.6496588115</v>
      </c>
      <c r="J37" s="22">
        <f t="shared" si="13"/>
        <v>84302999.686505973</v>
      </c>
      <c r="K37" s="24">
        <f t="shared" si="8"/>
        <v>-51627361.740935504</v>
      </c>
      <c r="L37" s="24">
        <f t="shared" si="9"/>
        <v>-8301590.1936822971</v>
      </c>
      <c r="M37" s="24">
        <f t="shared" si="10"/>
        <v>-30574.769648947728</v>
      </c>
      <c r="N37" s="24">
        <f t="shared" si="11"/>
        <v>-37691.012231389614</v>
      </c>
      <c r="O37" s="23">
        <f>J37+K37+L37+M37+N37</f>
        <v>24305781.970007833</v>
      </c>
      <c r="P37" s="23">
        <f>P36*1.022</f>
        <v>11517392.319232699</v>
      </c>
      <c r="R37" s="23"/>
      <c r="T37" s="23">
        <f>SUM(O37+P37+R37+B37+G37+S37+I37)</f>
        <v>49266351.845609836</v>
      </c>
      <c r="U37" s="22">
        <f>1.02*U36</f>
        <v>29589740.552304368</v>
      </c>
      <c r="V37" s="23">
        <f t="shared" si="3"/>
        <v>19676611.293305468</v>
      </c>
      <c r="W37" s="74"/>
    </row>
    <row r="38" spans="1:34" s="4" customFormat="1" x14ac:dyDescent="0.25">
      <c r="A38" s="4" t="s">
        <v>121</v>
      </c>
      <c r="J38" s="14"/>
      <c r="K38" s="14"/>
      <c r="L38" s="14"/>
      <c r="M38" s="14"/>
      <c r="N38" s="14"/>
      <c r="O38" s="14"/>
      <c r="P38" s="14"/>
      <c r="Q38" s="14"/>
      <c r="R38" s="14"/>
      <c r="S38" s="14"/>
      <c r="T38" s="14"/>
      <c r="U38" s="14"/>
      <c r="V38" s="14"/>
      <c r="W38" s="14"/>
      <c r="X38" s="14"/>
      <c r="Y38" s="14"/>
      <c r="Z38" s="14"/>
      <c r="AA38" s="14"/>
      <c r="AB38" s="14"/>
      <c r="AC38" s="14"/>
      <c r="AD38" s="14"/>
      <c r="AF38" s="14"/>
      <c r="AG38" s="14" t="s">
        <v>73</v>
      </c>
      <c r="AH38" s="14"/>
    </row>
    <row r="39" spans="1:34" x14ac:dyDescent="0.25">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F39" s="2"/>
      <c r="AG39" s="2"/>
      <c r="AH39" s="2"/>
    </row>
    <row r="40" spans="1:34" ht="45" x14ac:dyDescent="0.25">
      <c r="A40" s="53" t="s">
        <v>49</v>
      </c>
      <c r="B40" s="63"/>
      <c r="C40" s="63"/>
      <c r="D40" s="63"/>
      <c r="E40" s="63"/>
      <c r="F40" s="63"/>
      <c r="G40" s="63"/>
      <c r="H40" s="63"/>
      <c r="I40" s="63"/>
      <c r="J40" s="63"/>
      <c r="K40" s="63"/>
      <c r="L40" s="63"/>
      <c r="M40" s="63"/>
      <c r="N40" s="63"/>
      <c r="O40" s="63"/>
      <c r="P40" s="63"/>
      <c r="Q40" s="63"/>
      <c r="R40" s="63"/>
      <c r="S40" s="2"/>
      <c r="T40" s="2"/>
      <c r="U40" s="2"/>
      <c r="V40" s="2"/>
      <c r="W40" s="2"/>
      <c r="X40" s="2"/>
      <c r="Y40" s="2"/>
      <c r="Z40" s="2"/>
      <c r="AA40" s="2"/>
      <c r="AB40" s="2"/>
      <c r="AC40" s="2"/>
      <c r="AD40" s="2"/>
      <c r="AF40" s="2"/>
      <c r="AG40" s="2"/>
      <c r="AH40" s="2"/>
    </row>
    <row r="41" spans="1:34" x14ac:dyDescent="0.25">
      <c r="A41" s="15" t="s">
        <v>50</v>
      </c>
      <c r="B41" s="2">
        <f>SUM(B16:B27)</f>
        <v>104158351.4793545</v>
      </c>
      <c r="C41" s="2"/>
      <c r="D41" s="2"/>
      <c r="E41" s="2"/>
      <c r="F41" s="2"/>
      <c r="G41" s="2">
        <f>SUM(G16:G27)</f>
        <v>0</v>
      </c>
      <c r="H41" s="2">
        <f>SUM(H16:H27)</f>
        <v>0</v>
      </c>
      <c r="I41" s="2">
        <f>SUM(I16:I27)</f>
        <v>14799956.424667114</v>
      </c>
      <c r="J41" s="2"/>
      <c r="K41" s="2"/>
      <c r="L41" s="2"/>
      <c r="M41" s="2"/>
      <c r="N41" s="2"/>
      <c r="O41" s="2">
        <f>SUM(O16:O27)</f>
        <v>207756755.2459985</v>
      </c>
      <c r="P41" s="2">
        <f>SUM(P16:P27)</f>
        <v>98917070.379614383</v>
      </c>
      <c r="Q41" s="2">
        <f>SUM(F16:F27)</f>
        <v>90682937.079999983</v>
      </c>
      <c r="R41" s="2">
        <f>SUM(R16:R27)</f>
        <v>0</v>
      </c>
      <c r="S41" s="2"/>
      <c r="T41" s="2">
        <f>SUM(T16:T27)</f>
        <v>516315070.60963452</v>
      </c>
      <c r="U41" s="2">
        <f>SUM(U16:U27)</f>
        <v>261838799.09801599</v>
      </c>
      <c r="V41" s="2">
        <f>SUM(V16:V27)</f>
        <v>254476271.51161855</v>
      </c>
      <c r="W41" s="2">
        <f>SUM(W16:W27)</f>
        <v>0</v>
      </c>
      <c r="X41" s="2"/>
      <c r="Y41" s="2"/>
      <c r="Z41" s="2"/>
      <c r="AA41" s="2"/>
      <c r="AB41" s="2"/>
      <c r="AC41" s="2"/>
      <c r="AD41" s="2"/>
      <c r="AF41" s="2">
        <f>SUM(T16:T27)</f>
        <v>516315070.60963452</v>
      </c>
      <c r="AG41" s="2">
        <f>SUM(U16:U27)</f>
        <v>261838799.09801599</v>
      </c>
      <c r="AH41" s="2">
        <f>SUM(V16:V27)</f>
        <v>254476271.51161855</v>
      </c>
    </row>
    <row r="42" spans="1:34" x14ac:dyDescent="0.25">
      <c r="A42" s="15" t="s">
        <v>51</v>
      </c>
      <c r="B42" s="2">
        <f>SUM(B28:B37)</f>
        <v>107845682.20226663</v>
      </c>
      <c r="C42" s="2"/>
      <c r="D42" s="2"/>
      <c r="E42" s="2"/>
      <c r="F42" s="2"/>
      <c r="G42" s="2">
        <f>SUM(G28:G37)</f>
        <v>0</v>
      </c>
      <c r="H42" s="2">
        <f>SUM(H28:H37)</f>
        <v>0</v>
      </c>
      <c r="I42" s="2">
        <f>SUM(I28:I37)</f>
        <v>15323892.654910285</v>
      </c>
      <c r="J42" s="2"/>
      <c r="K42" s="2"/>
      <c r="L42" s="2"/>
      <c r="M42" s="2"/>
      <c r="N42" s="2"/>
      <c r="O42" s="2">
        <f>SUM(O28:O37)</f>
        <v>220815014.06272891</v>
      </c>
      <c r="P42" s="2">
        <f>SUM(P28:P37)</f>
        <v>104634080.48650876</v>
      </c>
      <c r="Q42" s="2">
        <f>SUM(F28:F37)</f>
        <v>81697585.280000001</v>
      </c>
      <c r="R42" s="2">
        <f>SUM(R28:R37)</f>
        <v>0</v>
      </c>
      <c r="S42" s="2"/>
      <c r="T42" s="2">
        <f>SUM(T28:T37)</f>
        <v>530316254.6864146</v>
      </c>
      <c r="U42" s="2">
        <f>SUM(U28:U37)</f>
        <v>271108207.02020162</v>
      </c>
      <c r="V42" s="2">
        <f>SUM(V28:V37)</f>
        <v>259208047.66621292</v>
      </c>
      <c r="W42" s="2">
        <f>SUM(W28:W37)</f>
        <v>0</v>
      </c>
      <c r="X42" s="2"/>
      <c r="Y42" s="2"/>
      <c r="Z42" s="2"/>
      <c r="AA42" s="2"/>
      <c r="AB42" s="2"/>
      <c r="AC42" s="2"/>
      <c r="AD42" s="2"/>
      <c r="AF42" s="2">
        <f>SUM(U28:U37)</f>
        <v>271108207.02020162</v>
      </c>
      <c r="AG42" s="2">
        <f>SUM(V28:V37)</f>
        <v>259208047.66621292</v>
      </c>
      <c r="AH42" s="2">
        <f>SUM(W28:W37)</f>
        <v>0</v>
      </c>
    </row>
    <row r="43" spans="1:34" x14ac:dyDescent="0.25">
      <c r="A43" s="15" t="s">
        <v>52</v>
      </c>
      <c r="B43" s="2">
        <f>B41+B42</f>
        <v>212004033.68162113</v>
      </c>
      <c r="C43" s="2"/>
      <c r="D43" s="2"/>
      <c r="E43" s="2"/>
      <c r="F43" s="2"/>
      <c r="G43" s="2">
        <f>G41+G42</f>
        <v>0</v>
      </c>
      <c r="H43" s="2">
        <f>H41+H42</f>
        <v>0</v>
      </c>
      <c r="I43" s="2">
        <f>I41+I42</f>
        <v>30123849.079577401</v>
      </c>
      <c r="J43" s="2"/>
      <c r="K43" s="2"/>
      <c r="L43" s="2"/>
      <c r="M43" s="2"/>
      <c r="N43" s="2"/>
      <c r="O43" s="2">
        <f>O41+O42</f>
        <v>428571769.30872738</v>
      </c>
      <c r="P43" s="2">
        <f t="shared" ref="P43:R43" si="15">P41+P42</f>
        <v>203551150.86612314</v>
      </c>
      <c r="Q43" s="2">
        <f>Q41+Q42</f>
        <v>172380522.35999998</v>
      </c>
      <c r="R43" s="2">
        <f t="shared" si="15"/>
        <v>0</v>
      </c>
      <c r="S43" s="2"/>
      <c r="T43" s="2">
        <f>T41+T42</f>
        <v>1046631325.2960491</v>
      </c>
      <c r="U43" s="2">
        <f>U41+U42</f>
        <v>532947006.11821759</v>
      </c>
      <c r="V43" s="2">
        <f>V41+V42</f>
        <v>513684319.17783147</v>
      </c>
      <c r="W43" s="2">
        <f>W41+W42</f>
        <v>0</v>
      </c>
      <c r="X43" s="2"/>
      <c r="Y43" s="2"/>
      <c r="Z43" s="2"/>
      <c r="AA43" s="2"/>
      <c r="AB43" s="2"/>
      <c r="AC43" s="2"/>
      <c r="AD43" s="2"/>
      <c r="AF43" s="2">
        <f>AF41+AF42</f>
        <v>787423277.62983608</v>
      </c>
      <c r="AG43" s="2">
        <f t="shared" ref="AG43" si="16">AG41+AG42</f>
        <v>521046846.76422894</v>
      </c>
      <c r="AH43" s="2">
        <f t="shared" ref="AH43" si="17">AH41+AH42</f>
        <v>254476271.51161855</v>
      </c>
    </row>
    <row r="44" spans="1:34" x14ac:dyDescent="0.25">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F44" s="2"/>
      <c r="AG44" s="2"/>
      <c r="AH44" s="2"/>
    </row>
    <row r="45" spans="1:34" x14ac:dyDescent="0.25">
      <c r="A45" s="4" t="s">
        <v>53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F45" s="2"/>
      <c r="AG45" s="2"/>
      <c r="AH45" s="2"/>
    </row>
    <row r="46" spans="1:34" s="4" customFormat="1" x14ac:dyDescent="0.25">
      <c r="A46" s="8" t="s">
        <v>55</v>
      </c>
    </row>
    <row r="47" spans="1:34" x14ac:dyDescent="0.25">
      <c r="A47" s="9" t="s">
        <v>122</v>
      </c>
    </row>
    <row r="48" spans="1:34" x14ac:dyDescent="0.25">
      <c r="A48" s="12" t="s">
        <v>123</v>
      </c>
      <c r="B48" s="12"/>
      <c r="C48" s="12"/>
      <c r="D48" s="12"/>
      <c r="E48" s="12"/>
      <c r="F48" s="12"/>
      <c r="G48" s="12"/>
      <c r="H48" s="12"/>
      <c r="I48" s="12"/>
      <c r="J48" s="12"/>
      <c r="K48" s="12"/>
      <c r="L48" s="12"/>
      <c r="M48" s="12"/>
    </row>
    <row r="49" spans="1:1" x14ac:dyDescent="0.25">
      <c r="A49" s="9" t="s">
        <v>124</v>
      </c>
    </row>
    <row r="50" spans="1:1" x14ac:dyDescent="0.25">
      <c r="A50" t="s">
        <v>125</v>
      </c>
    </row>
    <row r="51" spans="1:1" x14ac:dyDescent="0.25">
      <c r="A51" s="9" t="s">
        <v>126</v>
      </c>
    </row>
    <row r="52" spans="1:1" x14ac:dyDescent="0.25">
      <c r="A52" s="12" t="s">
        <v>127</v>
      </c>
    </row>
    <row r="53" spans="1:1" x14ac:dyDescent="0.25">
      <c r="A53" t="s">
        <v>128</v>
      </c>
    </row>
  </sheetData>
  <mergeCells count="4">
    <mergeCell ref="J2:Q2"/>
    <mergeCell ref="C3:F3"/>
    <mergeCell ref="J3:P3"/>
    <mergeCell ref="G2:I2"/>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2e9428-6f3b-4ef2-a4f2-75ab8b3d8bc8">
      <Terms xmlns="http://schemas.microsoft.com/office/infopath/2007/PartnerControls"/>
    </lcf76f155ced4ddcb4097134ff3c332f>
    <TaxCatchAll xmlns="53eb2f31-7ee2-4445-9d03-9d882caa812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F5D33FD760714887FAEC3EC72C1729" ma:contentTypeVersion="12" ma:contentTypeDescription="Create a new document." ma:contentTypeScope="" ma:versionID="91b72a03c7aa863e1324e5dfeea63d46">
  <xsd:schema xmlns:xsd="http://www.w3.org/2001/XMLSchema" xmlns:xs="http://www.w3.org/2001/XMLSchema" xmlns:p="http://schemas.microsoft.com/office/2006/metadata/properties" xmlns:ns2="6c2e9428-6f3b-4ef2-a4f2-75ab8b3d8bc8" xmlns:ns3="53eb2f31-7ee2-4445-9d03-9d882caa812e" targetNamespace="http://schemas.microsoft.com/office/2006/metadata/properties" ma:root="true" ma:fieldsID="52efbb5e7dab832eaac2287a1e628348" ns2:_="" ns3:_="">
    <xsd:import namespace="6c2e9428-6f3b-4ef2-a4f2-75ab8b3d8bc8"/>
    <xsd:import namespace="53eb2f31-7ee2-4445-9d03-9d882caa81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2e9428-6f3b-4ef2-a4f2-75ab8b3d8b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a03af62-c46d-49c3-8ac1-e2f20255cb1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eb2f31-7ee2-4445-9d03-9d882caa81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c94649-6477-47f9-bdb5-193f9aa43382}" ma:internalName="TaxCatchAll" ma:showField="CatchAllData" ma:web="53eb2f31-7ee2-4445-9d03-9d882caa81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D12688-FFAD-4D8B-A7F5-44F866830089}">
  <ds:schemaRefs>
    <ds:schemaRef ds:uri="http://schemas.microsoft.com/office/2006/metadata/properties"/>
    <ds:schemaRef ds:uri="http://schemas.microsoft.com/office/infopath/2007/PartnerControls"/>
    <ds:schemaRef ds:uri="6c2e9428-6f3b-4ef2-a4f2-75ab8b3d8bc8"/>
    <ds:schemaRef ds:uri="53eb2f31-7ee2-4445-9d03-9d882caa812e"/>
  </ds:schemaRefs>
</ds:datastoreItem>
</file>

<file path=customXml/itemProps2.xml><?xml version="1.0" encoding="utf-8"?>
<ds:datastoreItem xmlns:ds="http://schemas.openxmlformats.org/officeDocument/2006/customXml" ds:itemID="{D2EAF08F-E702-48E4-B884-7628FE966193}">
  <ds:schemaRefs>
    <ds:schemaRef ds:uri="http://schemas.microsoft.com/sharepoint/v3/contenttype/forms"/>
  </ds:schemaRefs>
</ds:datastoreItem>
</file>

<file path=customXml/itemProps3.xml><?xml version="1.0" encoding="utf-8"?>
<ds:datastoreItem xmlns:ds="http://schemas.openxmlformats.org/officeDocument/2006/customXml" ds:itemID="{0DC16F80-706B-4905-A8BC-DAF774B3D7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2e9428-6f3b-4ef2-a4f2-75ab8b3d8bc8"/>
    <ds:schemaRef ds:uri="53eb2f31-7ee2-4445-9d03-9d882caa81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Fairview</vt:lpstr>
      <vt:lpstr>Gresham</vt:lpstr>
      <vt:lpstr>Maywood Park</vt:lpstr>
      <vt:lpstr>Portland</vt:lpstr>
      <vt:lpstr>Troutdale</vt:lpstr>
      <vt:lpstr>Wood Village</vt:lpstr>
      <vt:lpstr>Multnomah County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Lake McTighe</dc:creator>
  <cp:keywords/>
  <dc:description/>
  <cp:lastModifiedBy>Lake McTighe</cp:lastModifiedBy>
  <cp:revision/>
  <dcterms:created xsi:type="dcterms:W3CDTF">2026-06-16T20:36:39Z</dcterms:created>
  <dcterms:modified xsi:type="dcterms:W3CDTF">2026-09-08T15:33:39Z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0x01010076F5D33FD760714887FAEC3EC72C1729</vt:lpwstr>
  </property>
  <property fmtid="{D5CDD505-2E9C-101B-9397-08002B2CF9AE}" pid="3" name="MediaServiceImageTags">
    <vt:lpwstr/>
  </property>
</Properties>
</file>